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SptDy6ja27rvedtvri49sNPQ0MPYzC61RotWjg3+dFlzC4QK14rSf1e2nR6hqSFjsR3LaaT67ekx+wn7u8Qp5w==" workbookSaltValue="V2nTfxWCdKTZ7aXvOV/i6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D12"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AT18" i="17"/>
  <c r="N10" i="11"/>
  <c r="N9" i="11"/>
  <c r="T10" i="21"/>
  <c r="F10" i="10"/>
  <c r="N11" i="11"/>
  <c r="ES19" i="8"/>
  <c r="C18" i="7"/>
  <c r="S19" i="13"/>
  <c r="AG19" i="19"/>
  <c r="CI19" i="8"/>
  <c r="AE19" i="8"/>
  <c r="F17" i="16"/>
  <c r="BL17" i="16" s="1"/>
  <c r="EP19" i="8"/>
  <c r="ER19" i="13"/>
  <c r="AL13" i="16"/>
  <c r="S13" i="16"/>
  <c r="H18" i="16"/>
  <c r="P13" i="16"/>
  <c r="AN13" i="20"/>
  <c r="F15" i="17"/>
  <c r="F17" i="17"/>
  <c r="AQ17" i="17" s="1"/>
  <c r="F9" i="2"/>
  <c r="M13" i="2"/>
  <c r="N13" i="2"/>
  <c r="C17" i="6"/>
  <c r="AC10" i="11"/>
  <c r="H13" i="12"/>
  <c r="T13" i="12"/>
  <c r="S19"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F16" i="17"/>
  <c r="Y19" i="8"/>
  <c r="BF15" i="8"/>
  <c r="AW18" i="21"/>
  <c r="BA13" i="8"/>
  <c r="H12" i="2"/>
  <c r="BG10" i="8"/>
  <c r="K10" i="7" s="1"/>
  <c r="AB19" i="8"/>
  <c r="Z19" i="8"/>
  <c r="B9" i="6"/>
  <c r="F9" i="11"/>
  <c r="AQ9" i="11" s="1"/>
  <c r="BD9" i="8"/>
  <c r="AL10" i="11"/>
  <c r="B12" i="6"/>
  <c r="L12" i="14"/>
  <c r="H12" i="7"/>
  <c r="C11" i="6"/>
  <c r="AO16" i="11"/>
  <c r="M18" i="2"/>
  <c r="N18" i="2"/>
  <c r="I11" i="12"/>
  <c r="BE12" i="13"/>
  <c r="E11" i="6"/>
  <c r="AO9" i="11"/>
  <c r="AL11" i="11"/>
  <c r="D11" i="12"/>
  <c r="BF11" i="8"/>
  <c r="BF9" i="8"/>
  <c r="BG9" i="8"/>
  <c r="K9" i="7" s="1"/>
  <c r="BE9" i="8"/>
  <c r="BD11" i="8"/>
  <c r="BE11" i="8"/>
  <c r="BG12" i="8"/>
  <c r="K12" i="7" s="1"/>
  <c r="BE12" i="8"/>
  <c r="I12" i="7" s="1"/>
  <c r="BD15" i="8"/>
  <c r="H15" i="7" s="1"/>
  <c r="BE15" i="8"/>
  <c r="I15" i="7" s="1"/>
  <c r="BG16" i="8"/>
  <c r="K16" i="7" s="1"/>
  <c r="C10" i="6"/>
  <c r="L11" i="14"/>
  <c r="E18" i="2"/>
  <c r="AO17" i="11"/>
  <c r="AL15" i="11"/>
  <c r="L16" i="14"/>
  <c r="F15" i="11"/>
  <c r="AQ15" i="11" s="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8" i="11" l="1"/>
  <c r="G19" i="7"/>
  <c r="AL18" i="11"/>
  <c r="AI19" i="11"/>
  <c r="F19" i="7"/>
  <c r="BE13" i="8"/>
  <c r="Y13" i="11"/>
  <c r="H13" i="2"/>
  <c r="D19" i="12"/>
  <c r="K9" i="12"/>
  <c r="B19" i="7"/>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<sst xmlns="http://schemas.openxmlformats.org/spreadsheetml/2006/main" count="2074" uniqueCount="910">
  <si>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</si>
  <si>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</si>
  <si>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</si>
  <si>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</si>
  <si>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</si>
  <si>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</si>
  <si>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</si>
  <si>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</si>
  <si>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</si>
  <si>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</si>
  <si>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</si>
  <si>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</si>
  <si>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</si>
  <si>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</si>
  <si>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</si>
  <si>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</si>
  <si>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</si>
  <si>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</si>
  <si>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</si>
  <si>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</si>
  <si>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</si>
  <si>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</si>
  <si>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</si>
  <si>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</si>
  <si>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</si>
  <si>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</si>
  <si>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</si>
  <si>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</si>
  <si>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</si>
  <si>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</si>
  <si>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</si>
  <si>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</si>
  <si>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</si>
  <si>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</si>
  <si>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</si>
  <si>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</si>
  <si>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</si>
  <si>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</si>
  <si>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</si>
  <si>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</si>
  <si>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</si>
  <si>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</si>
  <si>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</si>
  <si>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</si>
  <si>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</si>
  <si>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</si>
  <si>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</si>
  <si>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</si>
  <si>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</si>
  <si>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</si>
  <si>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</si>
  <si>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</si>
  <si>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</si>
  <si>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</si>
  <si>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</si>
  <si>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</si>
  <si>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</si>
  <si>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</si>
  <si>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</si>
  <si>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</si>
  <si>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</si>
  <si>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</si>
  <si>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</si>
  <si>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</si>
  <si>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</si>
  <si>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</si>
  <si>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</si>
  <si>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</si>
  <si>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</si>
  <si>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</si>
  <si>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</si>
  <si>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</si>
  <si>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</si>
  <si>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</si>
  <si>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</si>
  <si>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</si>
  <si>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</si>
  <si>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</si>
  <si>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</si>
  <si>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</si>
  <si>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</si>
  <si>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</si>
  <si>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</si>
  <si>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</si>
  <si>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</si>
  <si>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</si>
  <si>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</si>
  <si>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</si>
  <si>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</si>
  <si>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</si>
  <si>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</si>
  <si>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</si>
  <si>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</si>
  <si>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</si>
  <si>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</si>
  <si>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</si>
  <si>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</si>
  <si>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</si>
  <si>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</si>
  <si>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</si>
  <si>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</si>
  <si>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</si>
  <si>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</si>
  <si>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</si>
  <si>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</si>
  <si>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</si>
  <si>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</si>
  <si>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</si>
  <si>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</si>
  <si>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</si>
  <si>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</si>
  <si>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</si>
  <si>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</si>
  <si>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</si>
  <si>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</si>
  <si>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</si>
  <si>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</si>
  <si>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</si>
  <si>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</si>
  <si>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</si>
  <si>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</si>
  <si>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</si>
  <si>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</si>
  <si>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</si>
  <si>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</si>
  <si>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</si>
  <si>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</si>
  <si>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</si>
  <si>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</si>
  <si>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</si>
  <si>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</si>
  <si>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</si>
  <si>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</si>
  <si>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</si>
  <si>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</si>
  <si>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</si>
  <si>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</si>
  <si>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</si>
  <si>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</si>
  <si>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</si>
  <si>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</si>
  <si>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</si>
  <si>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</si>
  <si>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</si>
  <si>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</si>
  <si>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</si>
  <si>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</si>
  <si>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</si>
  <si>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</si>
  <si>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</si>
  <si>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</si>
  <si>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</si>
  <si>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</si>
  <si>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</si>
  <si>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</si>
  <si>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</si>
  <si>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</si>
  <si>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</si>
  <si>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</si>
  <si>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</si>
  <si>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</si>
  <si>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</si>
  <si>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</si>
  <si>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</si>
  <si>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</si>
  <si>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</si>
  <si>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</si>
  <si>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</si>
  <si>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</si>
  <si>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</si>
  <si>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</si>
  <si>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</si>
  <si>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</si>
  <si>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</si>
  <si>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</si>
  <si>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</si>
  <si>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</si>
  <si>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</si>
  <si>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</si>
  <si>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</si>
  <si>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</si>
  <si>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</si>
  <si>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</si>
  <si>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</si>
  <si>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</si>
  <si>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</si>
  <si>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</si>
  <si>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</si>
  <si>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</si>
  <si>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</si>
  <si>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</si>
  <si>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</si>
  <si>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</si>
  <si>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</si>
  <si>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</si>
  <si>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</si>
  <si>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</si>
  <si>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</si>
  <si>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</si>
  <si>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</si>
  <si>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</si>
  <si>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</si>
  <si>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</si>
  <si>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</si>
  <si>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</si>
  <si>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</si>
  <si>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</si>
  <si>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</si>
  <si>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</si>
  <si>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</si>
  <si>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</si>
  <si>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</si>
  <si>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</si>
  <si>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</si>
  <si>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</si>
  <si>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</si>
  <si>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</si>
  <si>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</si>
  <si>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</si>
  <si>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</si>
  <si>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</si>
  <si>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</si>
  <si>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</si>
  <si>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</si>
  <si>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</si>
  <si>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</si>
  <si>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</si>
  <si>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</si>
  <si>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</si>
  <si>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</si>
  <si>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</si>
  <si>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</si>
  <si>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</si>
  <si>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</si>
  <si>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</si>
  <si>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</si>
  <si>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</si>
  <si>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</si>
  <si>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</si>
  <si>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</si>
  <si>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</si>
  <si>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</si>
  <si>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</si>
  <si>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</si>
  <si>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</si>
  <si>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</si>
  <si>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</si>
  <si>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</si>
  <si>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</si>
  <si>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</si>
  <si>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</si>
  <si>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</si>
  <si>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</si>
  <si>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</si>
  <si>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</si>
  <si>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</si>
  <si>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</si>
  <si>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</si>
  <si>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</si>
  <si>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</si>
  <si>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</si>
  <si>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</si>
  <si>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</si>
  <si>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</si>
  <si>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</si>
  <si>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</si>
  <si>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</si>
  <si>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</si>
  <si>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</si>
  <si>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</si>
  <si>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</si>
  <si>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</si>
  <si>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</si>
  <si>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</si>
  <si>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</si>
  <si>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</si>
  <si>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</si>
  <si>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</si>
  <si>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</si>
  <si>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</si>
  <si>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</si>
  <si>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</si>
  <si>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</si>
  <si>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</si>
  <si>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</si>
  <si>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</si>
  <si>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</si>
  <si>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</si>
  <si>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</si>
  <si>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</si>
  <si>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</si>
  <si>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</si>
  <si>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</si>
  <si>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</si>
  <si>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</si>
  <si>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</si>
  <si>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</si>
  <si>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</si>
  <si>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</si>
  <si>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</si>
  <si>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</si>
  <si>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</si>
  <si>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</si>
  <si>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</si>
  <si>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</si>
  <si>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</si>
  <si>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</si>
  <si>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</si>
  <si>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</si>
  <si>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</si>
  <si>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</si>
  <si>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</si>
  <si>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</si>
  <si>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</si>
  <si>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</si>
  <si>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</si>
  <si>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</si>
  <si>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</si>
  <si>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</si>
  <si>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</si>
  <si>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</si>
  <si>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</si>
  <si>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</si>
  <si>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</si>
  <si>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</si>
  <si>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</si>
  <si>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</si>
  <si>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</si>
  <si>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</si>
  <si>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</si>
  <si>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</si>
  <si>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</si>
  <si>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</si>
  <si>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</si>
  <si>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</si>
  <si>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</si>
  <si>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</si>
  <si>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</si>
  <si>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</si>
  <si>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</si>
  <si>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</si>
  <si>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</si>
  <si>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</si>
  <si>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</si>
  <si>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</si>
  <si>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</si>
  <si>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</si>
  <si>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</si>
  <si>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</si>
  <si>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</si>
  <si>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</si>
  <si>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</si>
  <si>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</si>
  <si>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</si>
  <si>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</si>
  <si>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</si>
  <si>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</si>
  <si>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</si>
  <si>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</si>
  <si>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</si>
  <si>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</si>
  <si>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</si>
  <si>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</si>
  <si>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</si>
  <si>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</si>
  <si>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</si>
  <si>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</si>
  <si>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</si>
  <si>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</si>
  <si>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</si>
  <si>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</si>
  <si>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</si>
  <si>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</si>
  <si>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</si>
  <si>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</si>
  <si>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</si>
  <si>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</si>
  <si>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</si>
  <si>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</si>
  <si>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</si>
  <si>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</si>
  <si>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</si>
  <si>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</si>
  <si>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</si>
  <si>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</si>
  <si>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</si>
  <si>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</si>
  <si>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</si>
  <si>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</si>
  <si>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</si>
  <si>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</si>
  <si>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</si>
  <si>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</si>
  <si>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</si>
  <si>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</si>
  <si>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</si>
  <si>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</si>
  <si>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</si>
  <si>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</si>
  <si>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</si>
  <si>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</si>
  <si>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</si>
  <si>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</si>
  <si>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</si>
  <si>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</si>
  <si>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</si>
  <si>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</si>
  <si>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</si>
  <si>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</si>
  <si>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</si>
  <si>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</si>
  <si>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</si>
  <si>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</si>
  <si>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</si>
  <si>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</si>
  <si>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</si>
  <si>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</si>
  <si>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</si>
  <si>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</si>
  <si>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</si>
  <si>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</si>
  <si>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</si>
  <si>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</si>
  <si>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</si>
  <si>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</si>
  <si>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</si>
  <si>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</si>
  <si>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</si>
  <si>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</si>
  <si>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</si>
  <si>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</si>
  <si>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</si>
  <si>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</si>
  <si>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</si>
  <si>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</si>
  <si>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</si>
  <si>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</si>
  <si>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</si>
  <si>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</si>
  <si>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</si>
  <si>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</si>
  <si>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</si>
  <si>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</si>
  <si>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</si>
  <si>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</si>
  <si>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</si>
  <si>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</si>
  <si>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</si>
  <si>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</si>
  <si>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</si>
  <si>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</si>
  <si>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</si>
  <si>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</si>
  <si>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</si>
  <si>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</si>
  <si>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</si>
  <si>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</si>
  <si>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</si>
  <si>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</si>
  <si>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</si>
  <si>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</si>
  <si>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</si>
  <si>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</si>
  <si>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</si>
  <si>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</si>
  <si>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</si>
  <si>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</si>
  <si>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</si>
  <si>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</si>
  <si>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</si>
  <si>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</si>
  <si>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</si>
  <si>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</si>
  <si>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</si>
  <si>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</si>
  <si>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</si>
  <si>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</si>
  <si>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</si>
  <si>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</si>
  <si>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</si>
  <si>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</si>
  <si>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</si>
  <si>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</si>
  <si>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</si>
  <si>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</si>
  <si>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</si>
  <si>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</si>
  <si>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</si>
  <si>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</si>
  <si>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</si>
  <si>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</si>
  <si>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</si>
  <si>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</si>
  <si>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</si>
  <si>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</si>
  <si>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</si>
  <si>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</si>
  <si>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</si>
  <si>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</si>
  <si>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</si>
  <si>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</si>
  <si>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</si>
  <si>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</si>
  <si>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</si>
  <si>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</si>
  <si>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</si>
  <si>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</si>
  <si>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</si>
  <si>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</si>
  <si>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</si>
  <si>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</si>
  <si>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</si>
  <si>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</si>
  <si>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</si>
  <si>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</si>
  <si>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</si>
  <si>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</si>
  <si>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</si>
  <si>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</si>
  <si>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</si>
  <si>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</si>
  <si>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</si>
  <si>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</si>
  <si>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</si>
  <si>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</si>
  <si>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</si>
  <si>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</si>
  <si>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</si>
  <si>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</si>
  <si>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</si>
  <si>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</si>
  <si>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</si>
  <si>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</si>
  <si>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</si>
  <si>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</si>
  <si>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</si>
  <si>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</si>
  <si>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</si>
  <si>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</si>
  <si>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</si>
  <si>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</si>
  <si>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</si>
  <si>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</si>
  <si>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</si>
  <si>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</si>
  <si>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</si>
  <si>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</si>
  <si>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</si>
  <si>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</si>
  <si>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</si>
  <si>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</si>
  <si>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</si>
  <si>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</si>
  <si>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</si>
  <si>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</si>
  <si>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</si>
  <si>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</si>
  <si>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</si>
  <si>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</si>
  <si>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</si>
  <si>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</si>
  <si>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</si>
  <si>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</si>
  <si>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</si>
  <si>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</si>
  <si>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</si>
  <si>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</si>
  <si>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</si>
  <si>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</si>
  <si>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</si>
  <si>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</si>
  <si>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</si>
  <si>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</si>
  <si>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</si>
  <si>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</si>
  <si>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</si>
  <si>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</si>
  <si>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</si>
  <si>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</si>
  <si>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</si>
  <si>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</si>
  <si>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</si>
  <si>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</si>
  <si>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</si>
  <si>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</si>
  <si>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</si>
  <si>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</si>
  <si>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</si>
  <si>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</si>
  <si>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</si>
  <si>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</si>
  <si>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</si>
  <si>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</si>
  <si>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</si>
  <si>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</si>
  <si>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</si>
  <si>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</si>
  <si>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</si>
  <si>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</si>
  <si>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</si>
  <si>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</si>
  <si>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</si>
  <si>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</si>
  <si>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</si>
  <si>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</si>
  <si>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</si>
  <si>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</si>
  <si>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</si>
  <si>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</si>
  <si>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</si>
  <si>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</si>
  <si>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</si>
  <si>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</si>
  <si>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</si>
  <si>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</si>
  <si>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</si>
  <si>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</si>
  <si>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</si>
  <si>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</si>
  <si>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</si>
  <si>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</si>
  <si>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</si>
  <si>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</si>
  <si>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</si>
  <si>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</si>
  <si>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</si>
  <si>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</si>
  <si>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</si>
  <si>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</si>
  <si>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</si>
  <si>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</si>
  <si>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</si>
  <si>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</si>
  <si>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</si>
  <si>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</si>
  <si>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</si>
  <si>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</si>
  <si>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</si>
  <si>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</si>
  <si>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</si>
  <si>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</si>
  <si>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</si>
  <si>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</si>
  <si>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</si>
  <si>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</si>
  <si>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</si>
  <si>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</si>
  <si>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</si>
  <si>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</si>
  <si>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</si>
  <si>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</si>
  <si>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</si>
  <si>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</si>
  <si>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</si>
  <si>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</si>
  <si>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</si>
  <si>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</si>
  <si>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</si>
  <si>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</si>
  <si>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</si>
  <si>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</si>
  <si>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</si>
  <si>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</si>
  <si>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</si>
  <si>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</si>
  <si>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</si>
  <si>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</si>
  <si>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</si>
  <si>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</si>
  <si>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</si>
  <si>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</si>
  <si>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</si>
  <si>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</si>
  <si>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</si>
  <si>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</si>
  <si>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</si>
  <si>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</si>
  <si>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</si>
  <si>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</si>
  <si>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</si>
  <si>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</si>
  <si>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</si>
  <si>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</si>
  <si>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</si>
  <si>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</si>
  <si>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</si>
  <si>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</si>
  <si>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</si>
  <si>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</si>
  <si>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</si>
  <si>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</si>
  <si>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</si>
  <si>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</si>
  <si>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</si>
  <si>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</si>
  <si>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</si>
  <si>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</si>
  <si>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</si>
  <si>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</si>
  <si>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</si>
  <si>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</si>
  <si>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</si>
  <si>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</si>
  <si>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</si>
  <si>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</si>
  <si>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</si>
  <si>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</si>
  <si>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</si>
  <si>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</si>
  <si>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</si>
  <si>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</si>
  <si>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</si>
  <si>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</si>
  <si>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</si>
  <si>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</si>
  <si>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</si>
  <si>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</si>
  <si>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</si>
  <si>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</si>
  <si>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</si>
  <si>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</si>
  <si>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</si>
  <si>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</si>
  <si>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</si>
  <si>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</si>
  <si>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</si>
  <si>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</si>
  <si>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</si>
  <si>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</si>
  <si>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</si>
  <si>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</si>
  <si>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</si>
  <si>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</si>
  <si>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</si>
  <si>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</si>
  <si>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</si>
  <si>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</si>
  <si>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</si>
  <si>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</si>
  <si>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</si>
  <si>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</si>
  <si>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</si>
  <si>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</si>
  <si>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</si>
  <si>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</si>
  <si>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</si>
  <si>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</si>
  <si>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</si>
  <si>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</si>
  <si>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</si>
  <si>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</si>
  <si>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</si>
  <si>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</si>
  <si>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</si>
  <si>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</si>
  <si>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</si>
  <si>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</si>
  <si>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</si>
  <si>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</si>
  <si>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</si>
  <si>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</si>
  <si>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</si>
  <si>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</si>
  <si>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</si>
  <si>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</si>
  <si>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</si>
  <si>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</si>
  <si>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</si>
  <si>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</si>
  <si>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</si>
  <si>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</si>
  <si>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</si>
  <si>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</si>
  <si>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</si>
  <si>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</si>
  <si>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</si>
  <si>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</si>
  <si>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</si>
  <si>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</si>
  <si>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</si>
  <si>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</si>
  <si>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</si>
  <si>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</si>
  <si>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</si>
  <si>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</si>
  <si>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</si>
  <si>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</si>
  <si>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</si>
  <si>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</si>
  <si>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</si>
  <si>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</si>
  <si>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</si>
  <si>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</si>
  <si>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</si>
  <si>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</si>
  <si>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</si>
  <si>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</si>
  <si>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</si>
  <si>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</si>
  <si>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</si>
  <si>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</si>
  <si>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</si>
  <si>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</si>
  <si>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</si>
  <si>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</si>
  <si>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</si>
  <si>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</si>
  <si>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</si>
  <si>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</si>
  <si>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</si>
  <si>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</si>
  <si>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</si>
  <si>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</si>
  <si>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</si>
  <si>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</si>
  <si>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</si>
  <si>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</si>
  <si>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</si>
  <si>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</si>
  <si>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</si>
  <si>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</si>
  <si>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</si>
  <si>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</si>
  <si>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</si>
  <si>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</si>
  <si>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</si>
  <si>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</si>
  <si>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</si>
  <si>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</si>
  <si>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</si>
  <si>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</si>
  <si>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</si>
  <si>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</si>
  <si>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</si>
  <si>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</si>
  <si>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</si>
  <si>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</si>
  <si>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</si>
  <si>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</si>
  <si>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</si>
  <si>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</si>
  <si>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</si>
  <si>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</si>
  <si>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</si>
  <si>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</si>
  <si>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</si>
  <si>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</si>
  <si>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</si>
  <si>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</si>
  <si>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</si>
  <si>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</si>
  <si>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</si>
  <si>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</si>
  <si>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</si>
  <si>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</si>
  <si>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</si>
  <si>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</si>
  <si>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</si>
  <si>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</si>
  <si>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</si>
  <si>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</si>
  <si>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</si>
  <si>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</si>
  <si>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</si>
  <si>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</si>
  <si>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</si>
  <si>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</si>
  <si>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</si>
  <si>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</si>
  <si>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</si>
  <si>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</si>
  <si>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</si>
  <si>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</si>
  <si>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</si>
  <si>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</si>
  <si>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</si>
  <si>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</si>
  <si>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</si>
  <si>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</si>
  <si>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</si>
  <si>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</si>
  <si>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</si>
  <si>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</si>
  <si>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</si>
  <si>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</si>
  <si>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</si>
  <si>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</si>
  <si>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</si>
  <si>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</si>
  <si>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</si>
  <si>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</si>
  <si>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</si>
  <si>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</si>
  <si>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</si>
  <si>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</si>
  <si>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</si>
  <si>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</si>
  <si>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</si>
  <si>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</si>
  <si>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</si>
  <si>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</si>
  <si>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</si>
  <si>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</si>
  <si>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</si>
  <si>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</si>
  <si>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 Y LEON</t>
  </si>
  <si>
    <t>Provincias</t>
  </si>
  <si>
    <t>LEON</t>
  </si>
  <si>
    <t>Resumenes por Partidos Judiciales</t>
  </si>
  <si>
    <t>PONFERRADA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</si>
</sst>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903</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904</v>
      </c>
      <c r="B9" s="374" t="s">
        <v>905</v>
      </c>
      <c r="C9" s="371"/>
      <c r="D9" s="371"/>
      <c r="E9" s="380"/>
      <c r="F9" s="3"/>
    </row>
    <row r="10" spans="1:19">
      <c r="A10" s="379" t="s">
        <v>906</v>
      </c>
      <c r="B10" s="371" t="s">
        <v>907</v>
      </c>
      <c r="C10" s="371"/>
      <c r="D10" s="371"/>
      <c r="E10" s="380"/>
      <c r="F10" s="3"/>
      <c r="Q10" s="345">
        <v>0</v>
      </c>
    </row>
    <row r="11" spans="1:19" ht="13.5" thickBot="1">
      <c r="A11" s="381" t="s">
        <v>908</v>
      </c>
      <c r="B11" s="382" t="s">
        <v>909</v>
      </c>
      <c r="C11" s="382"/>
      <c r="D11" s="382"/>
      <c r="E11" s="383"/>
      <c r="F11" s="3"/>
    </row>
    <row r="12" spans="1:19" ht="40.5" customHeight="1" thickBot="1">
      <c r="A12" s="373"/>
      <c r="B12" s="371"/>
      <c r="C12" s="371"/>
      <c r="D12" s="371"/>
      <c r="E12" s="371"/>
      <c r="F12" s="3"/>
      <c r="Q12" s="1104"/>
    </row>
    <row r="13" spans="1:19" ht="15">
      <c r="A13" s="384" t="s">
        <v>124</v>
      </c>
      <c r="B13" s="385" t="s">
        <v>55</v>
      </c>
      <c r="C13" s="789" t="s">
        <v>715</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xeq503AJzH1f0a0UOCXRcy+OnuykVJlNGm6VrS4U4h2jNGMLJ5tibjl9+7SWHlP1bRSciPaLRBs4RJxAEVSA==" saltValue="dGbk+XGmlQ6yUP8ut9uX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809</v>
      </c>
      <c r="T7" s="1144" t="s">
        <v>810</v>
      </c>
      <c r="U7" s="1144" t="s">
        <v>811</v>
      </c>
      <c r="V7" s="1144" t="s">
        <v>812</v>
      </c>
      <c r="W7" s="1090" t="s">
        <v>448</v>
      </c>
      <c r="X7" s="1158" t="s">
        <v>826</v>
      </c>
      <c r="Y7" s="1158" t="s">
        <v>827</v>
      </c>
      <c r="Z7" s="1159" t="s">
        <v>828</v>
      </c>
      <c r="AA7" s="1093" t="s">
        <v>448</v>
      </c>
      <c r="AB7" s="1158" t="s">
        <v>449</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3.0453460620525057</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21</v>
      </c>
      <c r="D10" s="224">
        <f>IF(ISNUMBER(Datos!I10),Datos!I10," - ")</f>
        <v>20</v>
      </c>
      <c r="E10" s="225">
        <f>IF(ISNUMBER(Datos!J10),Datos!J10," - ")</f>
        <v>73</v>
      </c>
      <c r="F10" s="225">
        <f>IF(ISNUMBER(Datos!K10),Datos!K10," - ")</f>
        <v>46</v>
      </c>
      <c r="G10" s="1033" t="str">
        <f>IF(Datos!E10&lt;&gt;"",Datos!E10,Datos!D10)</f>
        <v>37</v>
      </c>
      <c r="H10" s="226">
        <f>IF(ISNUMBER(Datos!L10),Datos!L10," - ")</f>
        <v>48</v>
      </c>
      <c r="I10" s="1043" t="str">
        <f>IF(ISNUMBER(Datos!AS10/Datos!BM10),Datos!AS10/Datos!BM10," - ")</f>
        <v xml:space="preserve"> - </v>
      </c>
      <c r="J10" s="1044">
        <f>IF(ISNUMBER(Datos!BY10/Datos!CN10),Datos!BY10/Datos!CN10," - ")</f>
        <v>0</v>
      </c>
      <c r="K10" s="229">
        <f t="shared" ref="K10:K12" si="1">IF(ISNUMBER((E10-F10)/C10),(E10-F10)/C10," - ")</f>
        <v>1.2857142857142858</v>
      </c>
      <c r="L10" s="1024">
        <f>IF(ISNUMBER(NºAsuntos!I10/NºAsuntos!G10),(NºAsuntos!I10/NºAsuntos!G10)*11," - ")</f>
        <v>11.478260869565217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4.7948717948717947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21</v>
      </c>
      <c r="D13" s="1048">
        <f>SUBTOTAL(9,D9:D12)</f>
        <v>20</v>
      </c>
      <c r="E13" s="1049">
        <f>SUBTOTAL(9,E9:E12)</f>
        <v>73</v>
      </c>
      <c r="F13" s="1050">
        <f>SUBTOTAL(9,F9:F12)</f>
        <v>46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1960</v>
      </c>
      <c r="D15" s="224">
        <f>IF(ISNUMBER(IF(D_I="SI",Datos!I15,Datos!I15+Datos!AC15)),IF(D_I="SI",Datos!I15,Datos!I15+Datos!AC15)," - ")</f>
        <v>2200</v>
      </c>
      <c r="E15" s="225">
        <f>IF(ISNUMBER(IF(D_I="SI",Datos!J15,Datos!J15+Datos!AD15)),IF(D_I="SI",Datos!J15,Datos!J15+Datos!AD15)," - ")</f>
        <v>5724</v>
      </c>
      <c r="F15" s="225">
        <f>IF(ISNUMBER(IF(D_I="SI",Datos!K15,Datos!K15+Datos!AE15)),IF(D_I="SI",Datos!K15,Datos!K15+Datos!AE15)," - ")</f>
        <v>5838</v>
      </c>
      <c r="G15" s="1033" t="str">
        <f>IF(Datos!E15&lt;&gt;"",Datos!E15,Datos!D15)</f>
        <v>03</v>
      </c>
      <c r="H15" s="226">
        <f>IF(ISNUMBER(IF(D_I="SI",Datos!L15,Datos!L15+Datos!AF15)),IF(D_I="SI",Datos!L15,Datos!L15+Datos!AF15)," - ")</f>
        <v>1846</v>
      </c>
      <c r="I15" s="1043" t="str">
        <f>IF(ISNUMBER(Datos!AS15/Datos!BM15),Datos!AS15/Datos!BM15," - ")</f>
        <v xml:space="preserve"> - </v>
      </c>
      <c r="J15" s="1044">
        <f>IF(ISNUMBER(Datos!BY15/Datos!CN15),Datos!BY15/Datos!CN15," - ")</f>
        <v>0</v>
      </c>
      <c r="K15" s="229">
        <f t="shared" ref="K15:K17" si="3">IF(ISNUMBER((E15-F15)/C15),(E15-F15)/C15," - ")</f>
        <v>-5.8163265306122446E-2</v>
      </c>
      <c r="L15" s="1024">
        <f>IF(ISNUMBER(NºAsuntos!I15/NºAsuntos!G15),(NºAsuntos!I15/NºAsuntos!G15)*11," - ")</f>
        <v>3.4782459746488521</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157</v>
      </c>
      <c r="D16" s="224">
        <f>IF(ISNUMBER(IF(D_I="SI",Datos!I16,Datos!I16+Datos!AC16)),IF(D_I="SI",Datos!I16,Datos!I16+Datos!AC16)," - ")</f>
        <v>152</v>
      </c>
      <c r="E16" s="225">
        <f>IF(ISNUMBER(IF(D_I="SI",Datos!J16,Datos!J16+Datos!AD16)),IF(D_I="SI",Datos!J16,Datos!J16+Datos!AD16)," - ")</f>
        <v>19</v>
      </c>
      <c r="F16" s="225">
        <f>IF(ISNUMBER(IF(D_I="SI",Datos!K16,Datos!K16+Datos!AE16)),IF(D_I="SI",Datos!K16,Datos!K16+Datos!AE16)," - ")</f>
        <v>99</v>
      </c>
      <c r="G16" s="1033" t="str">
        <f>IF(Datos!E16&lt;&gt;"",Datos!E16,Datos!D16)</f>
        <v>04</v>
      </c>
      <c r="H16" s="226">
        <f>IF(ISNUMBER(IF(D_I="SI",Datos!L16,Datos!L16+Datos!AF16)),IF(D_I="SI",Datos!L16,Datos!L16+Datos!AF16)," - ")</f>
        <v>77</v>
      </c>
      <c r="I16" s="1043" t="str">
        <f>IF(ISNUMBER(Datos!AS16/Datos!BM16),Datos!AS16/Datos!BM16," - ")</f>
        <v xml:space="preserve"> - </v>
      </c>
      <c r="J16" s="1044">
        <f>IF(ISNUMBER(Datos!BY16/Datos!CN16),Datos!BY16/Datos!CN16," - ")</f>
        <v>0</v>
      </c>
      <c r="K16" s="229">
        <f t="shared" si="3"/>
        <v>-0.50955414012738853</v>
      </c>
      <c r="L16" s="1024">
        <f>IF(ISNUMBER(NºAsuntos!I16/NºAsuntos!G16),(NºAsuntos!I16/NºAsuntos!G16)*11," - ")</f>
        <v>8.5555555555555554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179</v>
      </c>
      <c r="D17" s="224">
        <f>IF(ISNUMBER(IF(D_I="SI",Datos!I17,Datos!I17+Datos!AC17)),IF(D_I="SI",Datos!I17,Datos!I17+Datos!AC17)," - ")</f>
        <v>275</v>
      </c>
      <c r="E17" s="225">
        <f>IF(ISNUMBER(IF(D_I="SI",Datos!J17,Datos!J17+Datos!AD17)),IF(D_I="SI",Datos!J17,Datos!J17+Datos!AD17)," - ")</f>
        <v>558</v>
      </c>
      <c r="F17" s="225">
        <f>IF(ISNUMBER(IF(D_I="SI",Datos!K17,Datos!K17+Datos!AE17)),IF(D_I="SI",Datos!K17,Datos!K17+Datos!AE17)," - ")</f>
        <v>420</v>
      </c>
      <c r="G17" s="1033" t="str">
        <f>IF(Datos!E17&lt;&gt;"",Datos!E17,Datos!D17)</f>
        <v>37</v>
      </c>
      <c r="H17" s="226">
        <f>IF(ISNUMBER(IF(D_I="SI",Datos!L17,Datos!L17+Datos!AF17)),IF(D_I="SI",Datos!L17,Datos!L17+Datos!AF17)," - ")</f>
        <v>317</v>
      </c>
      <c r="I17" s="1043" t="str">
        <f>IF(ISNUMBER(Datos!AS17/Datos!BM17),Datos!AS17/Datos!BM17," - ")</f>
        <v xml:space="preserve"> - </v>
      </c>
      <c r="J17" s="1044" t="str">
        <f>IF(ISNUMBER((Datos!BY17+Datos!BZ17)/Datos!CN17),(Datos!BY17+Datos!BZ17)/Datos!CN17," - ")</f>
        <v xml:space="preserve"> - </v>
      </c>
      <c r="K17" s="229">
        <f t="shared" si="3"/>
        <v>0.77094972067039103</v>
      </c>
      <c r="L17" s="1024">
        <f>IF(ISNUMBER(NºAsuntos!I17/NºAsuntos!G17),(NºAsuntos!I17/NºAsuntos!G17)*11," - ")</f>
        <v>8.3023809523809522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2296</v>
      </c>
      <c r="D18" s="1048">
        <f>SUBTOTAL(9,D15:D17)</f>
        <v>2627</v>
      </c>
      <c r="E18" s="1049">
        <f>SUBTOTAL(9,E15:E17)</f>
        <v>6301</v>
      </c>
      <c r="F18" s="1049">
        <f>SUBTOTAL(9,F15:F17)</f>
        <v>6357</v>
      </c>
      <c r="G18" s="1051" t="str">
        <f ca="1">INDIRECT(CONCATENATE("G",ROW()-1))</f>
        <v>37</v>
      </c>
      <c r="H18" s="1052">
        <f ca="1">SUMIF(G$14:G17,G18,H$14:H17)</f>
        <v>317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2317</v>
      </c>
      <c r="D19" s="1070">
        <f>SUBTOTAL(9,D9:D18)</f>
        <v>2647</v>
      </c>
      <c r="E19" s="1071">
        <f>SUBTOTAL(9,E9:E18)</f>
        <v>6374</v>
      </c>
      <c r="F19" s="1071">
        <f>SUBTOTAL(9,F9:F18)</f>
        <v>6403</v>
      </c>
      <c r="G19" s="1072"/>
      <c r="H19" s="1073">
        <f ca="1">SUMIF(B9:B18,"TOTAL",H9:H18)</f>
        <v>317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622</v>
      </c>
      <c r="O25" s="1326"/>
      <c r="P25" s="1326"/>
      <c r="Q25" s="1326"/>
      <c r="R25" s="1326"/>
      <c r="S25" s="1326"/>
      <c r="T25" s="1326"/>
      <c r="U25" s="1326"/>
      <c r="V25" s="1326"/>
      <c r="W25" s="1326"/>
      <c r="Y25" s="1326" t="s">
        <v>623</v>
      </c>
      <c r="Z25" s="1326"/>
      <c r="AA25" s="1326"/>
      <c r="AB25" s="1326"/>
      <c r="AC25" s="1326"/>
      <c r="AD25" s="1326"/>
    </row>
    <row r="27" spans="1:78">
      <c r="N27" s="1030" t="s">
        <v>624</v>
      </c>
      <c r="O27" s="1325" t="s">
        <v>625</v>
      </c>
      <c r="P27" s="1325"/>
      <c r="Q27" s="1325"/>
      <c r="R27" s="1325"/>
      <c r="S27" s="1325"/>
      <c r="T27" s="1325"/>
      <c r="U27" s="1325"/>
      <c r="V27" s="1325"/>
      <c r="W27" s="1325"/>
      <c r="Y27" s="1030" t="s">
        <v>624</v>
      </c>
      <c r="Z27" s="1323" t="s">
        <v>626</v>
      </c>
      <c r="AA27" s="1323"/>
      <c r="AB27" s="1323"/>
      <c r="AC27" s="1323"/>
      <c r="AD27" s="1323"/>
    </row>
    <row r="28" spans="1:78">
      <c r="N28" s="1030" t="s">
        <v>627</v>
      </c>
      <c r="O28" s="1325" t="s">
        <v>628</v>
      </c>
      <c r="P28" s="1325"/>
      <c r="Q28" s="1325"/>
      <c r="R28" s="1325"/>
      <c r="S28" s="1325"/>
      <c r="T28" s="1325"/>
      <c r="U28" s="1325"/>
      <c r="V28" s="1325"/>
      <c r="W28" s="1325"/>
      <c r="Y28" s="1030" t="s">
        <v>627</v>
      </c>
      <c r="Z28" s="1323" t="s">
        <v>629</v>
      </c>
      <c r="AA28" s="1323"/>
      <c r="AB28" s="1323"/>
      <c r="AC28" s="1323"/>
      <c r="AD28" s="1323"/>
    </row>
    <row r="29" spans="1:78">
      <c r="N29" s="1030" t="s">
        <v>630</v>
      </c>
      <c r="O29" s="1325" t="s">
        <v>631</v>
      </c>
      <c r="P29" s="1325"/>
      <c r="Q29" s="1325"/>
      <c r="R29" s="1325"/>
      <c r="S29" s="1325"/>
      <c r="T29" s="1325"/>
      <c r="U29" s="1325"/>
      <c r="V29" s="1325"/>
      <c r="W29" s="1325"/>
      <c r="Y29" s="1030" t="s">
        <v>632</v>
      </c>
      <c r="Z29" s="1323" t="s">
        <v>861</v>
      </c>
      <c r="AA29" s="1323"/>
      <c r="AB29" s="1323"/>
      <c r="AC29" s="1323"/>
      <c r="AD29" s="1323"/>
    </row>
    <row r="30" spans="1:78">
      <c r="N30" s="1030" t="s">
        <v>633</v>
      </c>
      <c r="O30" s="1325" t="s">
        <v>634</v>
      </c>
      <c r="P30" s="1325"/>
      <c r="Q30" s="1325"/>
      <c r="R30" s="1325"/>
      <c r="S30" s="1325"/>
      <c r="T30" s="1325"/>
      <c r="U30" s="1325"/>
      <c r="V30" s="1325"/>
      <c r="W30" s="1325"/>
      <c r="Y30" s="1030" t="s">
        <v>635</v>
      </c>
      <c r="Z30" s="1323" t="s">
        <v>862</v>
      </c>
      <c r="AA30" s="1323"/>
      <c r="AB30" s="1323"/>
      <c r="AC30" s="1323"/>
      <c r="AD30" s="1323"/>
    </row>
    <row r="31" spans="1:78">
      <c r="N31" s="1030" t="s">
        <v>718</v>
      </c>
      <c r="O31" s="1325" t="s">
        <v>719</v>
      </c>
      <c r="P31" s="1325"/>
      <c r="Q31" s="1325"/>
      <c r="R31" s="1325"/>
      <c r="S31" s="1325"/>
      <c r="T31" s="1325"/>
      <c r="U31" s="1325"/>
      <c r="V31" s="1325"/>
      <c r="W31" s="1325"/>
      <c r="Y31" s="1030" t="s">
        <v>630</v>
      </c>
      <c r="Z31" s="1323" t="s">
        <v>631</v>
      </c>
      <c r="AA31" s="1323"/>
      <c r="AB31" s="1323"/>
      <c r="AC31" s="1323"/>
      <c r="AD31" s="1323"/>
    </row>
    <row r="32" spans="1:78">
      <c r="N32" s="1030" t="s">
        <v>636</v>
      </c>
      <c r="O32" s="1325" t="s">
        <v>637</v>
      </c>
      <c r="P32" s="1325"/>
      <c r="Q32" s="1325"/>
      <c r="R32" s="1325"/>
      <c r="S32" s="1325"/>
      <c r="T32" s="1325"/>
      <c r="U32" s="1325"/>
      <c r="V32" s="1325"/>
      <c r="W32" s="1325"/>
      <c r="Y32" s="1030" t="s">
        <v>633</v>
      </c>
      <c r="Z32" s="1323" t="s">
        <v>634</v>
      </c>
      <c r="AA32" s="1323"/>
      <c r="AB32" s="1323"/>
      <c r="AC32" s="1323"/>
      <c r="AD32" s="1323"/>
    </row>
    <row r="33" spans="14:30">
      <c r="N33" s="1030" t="s">
        <v>638</v>
      </c>
      <c r="O33" s="1325" t="s">
        <v>639</v>
      </c>
      <c r="P33" s="1325"/>
      <c r="Q33" s="1325"/>
      <c r="R33" s="1325"/>
      <c r="S33" s="1325"/>
      <c r="T33" s="1325"/>
      <c r="U33" s="1325"/>
      <c r="V33" s="1325"/>
      <c r="W33" s="1325"/>
      <c r="Y33" s="1030" t="s">
        <v>718</v>
      </c>
      <c r="Z33" s="1323" t="s">
        <v>886</v>
      </c>
      <c r="AA33" s="1323"/>
      <c r="AB33" s="1323"/>
      <c r="AC33" s="1323"/>
      <c r="AD33" s="1323"/>
    </row>
    <row r="34" spans="14:30">
      <c r="N34" s="1030" t="s">
        <v>632</v>
      </c>
      <c r="O34" s="1325" t="s">
        <v>859</v>
      </c>
      <c r="P34" s="1325"/>
      <c r="Q34" s="1325"/>
      <c r="R34" s="1325"/>
      <c r="S34" s="1325"/>
      <c r="T34" s="1325"/>
      <c r="U34" s="1325"/>
      <c r="V34" s="1325"/>
      <c r="W34" s="1325"/>
      <c r="Y34" s="1030" t="s">
        <v>640</v>
      </c>
      <c r="Z34" s="1323" t="s">
        <v>641</v>
      </c>
      <c r="AA34" s="1323"/>
      <c r="AB34" s="1323"/>
      <c r="AC34" s="1323"/>
      <c r="AD34" s="1323"/>
    </row>
    <row r="35" spans="14:30">
      <c r="N35" s="1030" t="s">
        <v>635</v>
      </c>
      <c r="O35" s="1325" t="s">
        <v>860</v>
      </c>
      <c r="P35" s="1325"/>
      <c r="Q35" s="1325"/>
      <c r="R35" s="1325"/>
      <c r="S35" s="1325"/>
      <c r="T35" s="1325"/>
      <c r="U35" s="1325"/>
      <c r="V35" s="1325"/>
      <c r="W35" s="1325"/>
      <c r="Y35" s="1030" t="s">
        <v>642</v>
      </c>
      <c r="Z35" s="1323" t="s">
        <v>643</v>
      </c>
      <c r="AA35" s="1323"/>
      <c r="AB35" s="1323"/>
      <c r="AC35" s="1323"/>
      <c r="AD35" s="1323"/>
    </row>
    <row r="36" spans="14:30">
      <c r="N36" s="1030" t="s">
        <v>640</v>
      </c>
      <c r="O36" s="1325" t="s">
        <v>644</v>
      </c>
      <c r="P36" s="1325"/>
      <c r="Q36" s="1325"/>
      <c r="R36" s="1325"/>
      <c r="S36" s="1325"/>
      <c r="T36" s="1325"/>
      <c r="U36" s="1325"/>
      <c r="V36" s="1325"/>
      <c r="W36" s="1325"/>
      <c r="Y36" s="1030" t="s">
        <v>645</v>
      </c>
      <c r="Z36" s="1323" t="s">
        <v>646</v>
      </c>
      <c r="AA36" s="1323"/>
      <c r="AB36" s="1323"/>
      <c r="AC36" s="1323"/>
      <c r="AD36" s="1323"/>
    </row>
    <row r="37" spans="14:30">
      <c r="N37" s="1030" t="s">
        <v>647</v>
      </c>
      <c r="O37" s="1325" t="s">
        <v>648</v>
      </c>
      <c r="P37" s="1325"/>
      <c r="Q37" s="1325"/>
      <c r="R37" s="1325"/>
      <c r="S37" s="1325"/>
      <c r="T37" s="1325"/>
      <c r="U37" s="1325"/>
      <c r="V37" s="1325"/>
      <c r="W37" s="1325"/>
      <c r="Y37" s="1030" t="s">
        <v>636</v>
      </c>
      <c r="Z37" s="1323" t="s">
        <v>637</v>
      </c>
      <c r="AA37" s="1323"/>
      <c r="AB37" s="1323"/>
      <c r="AC37" s="1323"/>
      <c r="AD37" s="1323"/>
    </row>
    <row r="38" spans="14:30">
      <c r="N38" s="1030" t="s">
        <v>642</v>
      </c>
      <c r="O38" s="1325" t="s">
        <v>649</v>
      </c>
      <c r="P38" s="1325"/>
      <c r="Q38" s="1325"/>
      <c r="R38" s="1325"/>
      <c r="S38" s="1325"/>
      <c r="T38" s="1325"/>
      <c r="U38" s="1325"/>
      <c r="V38" s="1325"/>
      <c r="W38" s="1325"/>
      <c r="Y38" s="1031" t="s">
        <v>638</v>
      </c>
      <c r="Z38" s="1324" t="s">
        <v>639</v>
      </c>
      <c r="AA38" s="1324"/>
      <c r="AB38" s="1324"/>
      <c r="AC38" s="1324"/>
      <c r="AD38" s="1324"/>
    </row>
    <row r="39" spans="14:30">
      <c r="N39" s="1031" t="s">
        <v>645</v>
      </c>
      <c r="O39" s="1322" t="s">
        <v>650</v>
      </c>
      <c r="P39" s="1322"/>
      <c r="Q39" s="1322"/>
      <c r="R39" s="1322"/>
      <c r="S39" s="1322"/>
      <c r="T39" s="1322"/>
      <c r="U39" s="1322"/>
      <c r="V39" s="1322"/>
      <c r="W39" s="1322"/>
    </row>
  </sheetData>
  <sheetProtection algorithmName="SHA-512" hashValue="jQOz2acTLaSEpvDbhUMj0JEQDJnqG6r8IxjYPqhvBa7uNizRbCH4tvGaZ2BcK8KC8vbG6NMVMHQQcTE6LZuqvw==" saltValue="jF0RT7AOrWV6nLhbJxlTE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nRVnBMrZeITleBiNT2hYHjjkBhvpLWjcNagpKVD1boPy7jZWNr7riyd6X6o8YOqEq8Mv5s884JGlDHK0EVjgg==" saltValue="yg+YDngqJtJg4eMTViSe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737</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469" t="s">
        <v>736</v>
      </c>
      <c r="ER8" s="469">
        <v>148</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v>4012</v>
      </c>
      <c r="J9" s="180">
        <v>7807</v>
      </c>
      <c r="K9" s="180">
        <v>9151</v>
      </c>
      <c r="L9" s="180">
        <v>2545</v>
      </c>
      <c r="M9" s="180">
        <v>3226</v>
      </c>
      <c r="N9" s="180">
        <v>2672</v>
      </c>
      <c r="O9" s="180">
        <v>3733</v>
      </c>
      <c r="P9" s="180">
        <v>2677</v>
      </c>
      <c r="Q9" s="180">
        <v>906</v>
      </c>
      <c r="R9" s="180">
        <v>7105</v>
      </c>
      <c r="S9" s="180">
        <v>3408</v>
      </c>
      <c r="T9" s="180">
        <v>8187</v>
      </c>
      <c r="U9" s="180">
        <v>7527</v>
      </c>
      <c r="V9" s="180">
        <v>4012</v>
      </c>
      <c r="W9" s="180">
        <v>3061</v>
      </c>
      <c r="X9" s="187">
        <v>2064</v>
      </c>
      <c r="Y9" s="190">
        <v>24</v>
      </c>
      <c r="Z9" s="180">
        <v>585</v>
      </c>
      <c r="AA9" s="180">
        <v>486</v>
      </c>
      <c r="AB9" s="180">
        <v>123</v>
      </c>
      <c r="AC9" s="180">
        <v>0</v>
      </c>
      <c r="AD9" s="180">
        <v>0</v>
      </c>
      <c r="AE9" s="180">
        <v>0</v>
      </c>
      <c r="AF9" s="187">
        <v>0</v>
      </c>
      <c r="AG9" s="190">
        <v>53</v>
      </c>
      <c r="AH9" s="180">
        <v>325</v>
      </c>
      <c r="AI9" s="180">
        <v>357</v>
      </c>
      <c r="AJ9" s="191">
        <v>24</v>
      </c>
      <c r="AK9" s="179">
        <v>0</v>
      </c>
      <c r="AL9" s="180">
        <v>0</v>
      </c>
      <c r="AM9" s="180">
        <v>0</v>
      </c>
      <c r="AN9" s="187">
        <v>0</v>
      </c>
      <c r="AO9" s="257">
        <v>6</v>
      </c>
      <c r="AP9" s="153">
        <v>6</v>
      </c>
      <c r="AQ9" s="153">
        <v>6</v>
      </c>
      <c r="AR9" s="192">
        <v>6</v>
      </c>
      <c r="AS9" s="337" t="s">
        <v>783</v>
      </c>
      <c r="AT9" s="194"/>
      <c r="AU9" s="193"/>
      <c r="AV9" s="194"/>
      <c r="AW9" s="193"/>
      <c r="AX9" s="194"/>
      <c r="AY9" s="123">
        <f>IF(ISNUMBER(IF(J_V="SI",S9,S9+AG9)),IF(J_V="SI",S9,S9+AG9)," - ")</f>
        <v>3461</v>
      </c>
      <c r="AZ9" s="123">
        <f>IF(ISNUMBER(IF(J_V="SI",T9,T9+AH9)),IF(J_V="SI",T9,T9+AH9)," - ")</f>
        <v>8512</v>
      </c>
      <c r="BA9" s="124">
        <f>IF(ISNUMBER(IF(J_V="SI",U9,U9+AI9)),IF(J_V="SI",U9,U9+AI9)," - ")</f>
        <v>7884</v>
      </c>
      <c r="BB9" s="124">
        <f>IF(ISNUMBER(IF(J_V="SI",V9,V9+AJ9)),IF(J_V="SI",V9,V9+AJ9)," - ")</f>
        <v>4036</v>
      </c>
      <c r="BC9" s="125">
        <f>IF(ISNUMBER(X9),X9," - ")</f>
        <v>2064</v>
      </c>
      <c r="BD9" s="126">
        <f>IF(ISNUMBER(BA9/AZ9),BA9/AZ9," - ")</f>
        <v>0.92622180451127822</v>
      </c>
      <c r="BE9" s="127">
        <f>IF(ISNUMBER(BB9/BA9),BB9/BA9, " - ")</f>
        <v>0.51192288178589551</v>
      </c>
      <c r="BF9" s="127">
        <f>IF(ISNUMBER(BC9/BA9),BC9/BA9, " - ")</f>
        <v>0.26179604261796041</v>
      </c>
      <c r="BG9" s="195">
        <f>IF(ISNUMBER((AY9+AZ9)/BA9),(AY9+AZ9)/BA9," - ")</f>
        <v>1.5186453576864536</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850</v>
      </c>
      <c r="EP9" s="996"/>
      <c r="EQ9" s="996"/>
      <c r="ER9" s="999">
        <v>1200</v>
      </c>
      <c r="ES9" s="996"/>
      <c r="ET9" s="1141"/>
      <c r="EU9" s="1141"/>
      <c r="EV9" s="1154"/>
      <c r="EW9" s="1154"/>
      <c r="EX9" s="155"/>
      <c r="EY9" s="155"/>
      <c r="EZ9" s="155"/>
    </row>
    <row r="10" spans="1:156" ht="14.25" customHeight="1">
      <c r="A10" s="20" t="s">
        <v>902</v>
      </c>
      <c r="B10" s="21" t="s">
        <v>402</v>
      </c>
      <c r="C10" s="22" t="s">
        <v>3</v>
      </c>
      <c r="D10" s="23" t="s">
        <v>82</v>
      </c>
      <c r="E10" s="21" t="s">
        <v>82</v>
      </c>
      <c r="F10" s="21" t="s">
        <v>138</v>
      </c>
      <c r="G10" s="6"/>
      <c r="H10" s="28"/>
      <c r="I10" s="179">
        <v>20</v>
      </c>
      <c r="J10" s="180">
        <v>73</v>
      </c>
      <c r="K10" s="180">
        <v>46</v>
      </c>
      <c r="L10" s="180">
        <v>48</v>
      </c>
      <c r="M10" s="180">
        <v>14</v>
      </c>
      <c r="N10" s="180">
        <v>11</v>
      </c>
      <c r="O10" s="180">
        <v>8</v>
      </c>
      <c r="P10" s="180">
        <v>16</v>
      </c>
      <c r="Q10" s="180">
        <v>4</v>
      </c>
      <c r="R10" s="180">
        <v>30</v>
      </c>
      <c r="S10" s="180">
        <v>24</v>
      </c>
      <c r="T10" s="180">
        <v>54</v>
      </c>
      <c r="U10" s="180">
        <v>58</v>
      </c>
      <c r="V10" s="180">
        <v>18</v>
      </c>
      <c r="W10" s="180">
        <v>31</v>
      </c>
      <c r="X10" s="187">
        <v>10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777</v>
      </c>
      <c r="AT10" s="191"/>
      <c r="AU10" s="199"/>
      <c r="AV10" s="191"/>
      <c r="AW10" s="199"/>
      <c r="AX10" s="191"/>
      <c r="AY10" s="128">
        <f t="shared" ref="AY10:BC10" si="0">IF(ISNUMBER(S10),S10," - ")</f>
        <v>24</v>
      </c>
      <c r="AZ10" s="129">
        <f t="shared" si="0"/>
        <v>54</v>
      </c>
      <c r="BA10" s="129">
        <f t="shared" si="0"/>
        <v>58</v>
      </c>
      <c r="BB10" s="129">
        <f t="shared" si="0"/>
        <v>18</v>
      </c>
      <c r="BC10" s="125">
        <f t="shared" si="0"/>
        <v>31</v>
      </c>
      <c r="BD10" s="126">
        <f>IF(ISNUMBER(BA10/AZ10),BA10/AZ10," - ")</f>
        <v>1.0740740740740742</v>
      </c>
      <c r="BE10" s="127">
        <f>IF(ISNUMBER(BB10/BA10),BB10/BA10, " - ")</f>
        <v>0.31034482758620691</v>
      </c>
      <c r="BF10" s="127">
        <f>IF(ISNUMBER(BC10/BA10),BC10/BA10, " - ")</f>
        <v>0.53448275862068961</v>
      </c>
      <c r="BG10" s="195">
        <f>IF(ISNUMBER((AY10+AZ10)/BA10),(AY10+AZ10)/BA10," - ")</f>
        <v>1.3448275862068966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751</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790</v>
      </c>
      <c r="J11" s="182" t="s">
        <v>784</v>
      </c>
      <c r="K11" s="182" t="s">
        <v>831</v>
      </c>
      <c r="L11" s="182" t="s">
        <v>794</v>
      </c>
      <c r="M11" s="182" t="s">
        <v>483</v>
      </c>
      <c r="N11" s="182" t="s">
        <v>497</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785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851</v>
      </c>
      <c r="EP11" s="997"/>
      <c r="EQ11" s="997"/>
      <c r="ER11" s="1001">
        <v>1323</v>
      </c>
      <c r="ES11" s="997"/>
      <c r="ET11" s="1141"/>
      <c r="EU11" s="1141"/>
      <c r="EV11" s="1154"/>
      <c r="EW11" s="1154"/>
      <c r="EX11" s="288"/>
      <c r="EY11" s="288"/>
      <c r="EZ11" s="288"/>
    </row>
    <row r="12" spans="1:156" ht="14.25" customHeight="1">
      <c r="A12" s="20" t="s">
        <v>901</v>
      </c>
      <c r="B12" s="21" t="s">
        <v>402</v>
      </c>
      <c r="C12" s="22" t="s">
        <v>3</v>
      </c>
      <c r="D12" s="23" t="s">
        <v>20</v>
      </c>
      <c r="E12" s="21" t="s">
        <v>20</v>
      </c>
      <c r="F12" s="21">
        <v>31</v>
      </c>
      <c r="G12" s="6"/>
      <c r="H12" s="214"/>
      <c r="I12" s="181">
        <v>32</v>
      </c>
      <c r="J12" s="182">
        <v>20</v>
      </c>
      <c r="K12" s="182">
        <v>33</v>
      </c>
      <c r="L12" s="182">
        <v>17</v>
      </c>
      <c r="M12" s="182">
        <v>7</v>
      </c>
      <c r="N12" s="182">
        <v>15</v>
      </c>
      <c r="O12" s="180">
        <v>125</v>
      </c>
      <c r="P12" s="182">
        <v>2</v>
      </c>
      <c r="Q12" s="182">
        <v>106</v>
      </c>
      <c r="R12" s="182">
        <v>1795</v>
      </c>
      <c r="S12" s="182">
        <v>87</v>
      </c>
      <c r="T12" s="182">
        <v>26</v>
      </c>
      <c r="U12" s="182">
        <v>92</v>
      </c>
      <c r="V12" s="182">
        <v>32</v>
      </c>
      <c r="W12" s="182">
        <v>29</v>
      </c>
      <c r="X12" s="188">
        <v>44</v>
      </c>
      <c r="Y12" s="190">
        <v>0</v>
      </c>
      <c r="Z12" s="180">
        <v>6</v>
      </c>
      <c r="AA12" s="180">
        <v>6</v>
      </c>
      <c r="AB12" s="180">
        <v>0</v>
      </c>
      <c r="AC12" s="182">
        <v>0</v>
      </c>
      <c r="AD12" s="182">
        <v>0</v>
      </c>
      <c r="AE12" s="182">
        <v>0</v>
      </c>
      <c r="AF12" s="188">
        <v>0</v>
      </c>
      <c r="AG12" s="201">
        <v>0</v>
      </c>
      <c r="AH12" s="182">
        <v>16</v>
      </c>
      <c r="AI12" s="182">
        <v>16</v>
      </c>
      <c r="AJ12" s="202">
        <v>0</v>
      </c>
      <c r="AK12" s="181">
        <v>0</v>
      </c>
      <c r="AL12" s="182">
        <v>0</v>
      </c>
      <c r="AM12" s="182">
        <v>0</v>
      </c>
      <c r="AN12" s="188">
        <v>0</v>
      </c>
      <c r="AO12" s="258">
        <v>0</v>
      </c>
      <c r="AP12" s="154">
        <v>0</v>
      </c>
      <c r="AQ12" s="154">
        <v>0</v>
      </c>
      <c r="AR12" s="153">
        <v>0</v>
      </c>
      <c r="AS12" s="339" t="s">
        <v>786</v>
      </c>
      <c r="AT12" s="202"/>
      <c r="AU12" s="201"/>
      <c r="AV12" s="202"/>
      <c r="AW12" s="201"/>
      <c r="AX12" s="202"/>
      <c r="AY12" s="126">
        <f t="shared" si="1"/>
        <v>87</v>
      </c>
      <c r="AZ12" s="127">
        <f t="shared" si="1"/>
        <v>42</v>
      </c>
      <c r="BA12" s="127">
        <f t="shared" si="1"/>
        <v>108</v>
      </c>
      <c r="BB12" s="127">
        <f t="shared" si="1"/>
        <v>32</v>
      </c>
      <c r="BC12" s="125">
        <f>IF(ISNUMBER(X12),X12," - ")</f>
        <v>44</v>
      </c>
      <c r="BD12" s="126">
        <f t="shared" si="2"/>
        <v>2.5714285714285716</v>
      </c>
      <c r="BE12" s="127">
        <f t="shared" si="3"/>
        <v>0.29629629629629628</v>
      </c>
      <c r="BF12" s="127">
        <f t="shared" si="4"/>
        <v>0.40740740740740738</v>
      </c>
      <c r="BG12" s="195">
        <f t="shared" si="5"/>
        <v>1.1944444444444444</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852</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4064</v>
      </c>
      <c r="J13" s="183">
        <f t="shared" si="6"/>
        <v>7900</v>
      </c>
      <c r="K13" s="183">
        <f t="shared" si="6"/>
        <v>9230</v>
      </c>
      <c r="L13" s="183">
        <f t="shared" si="6"/>
        <v>2610</v>
      </c>
      <c r="M13" s="183">
        <f t="shared" si="6"/>
        <v>3247</v>
      </c>
      <c r="N13" s="183">
        <f t="shared" si="6"/>
        <v>2698</v>
      </c>
      <c r="O13" s="183">
        <f t="shared" si="6"/>
        <v>3866</v>
      </c>
      <c r="P13" s="183">
        <f t="shared" si="6"/>
        <v>2695</v>
      </c>
      <c r="Q13" s="183">
        <f t="shared" si="6"/>
        <v>1016</v>
      </c>
      <c r="R13" s="183">
        <f t="shared" si="6"/>
        <v>8930</v>
      </c>
      <c r="S13" s="183">
        <f t="shared" si="6"/>
        <v>3519</v>
      </c>
      <c r="T13" s="183">
        <f t="shared" si="6"/>
        <v>8267</v>
      </c>
      <c r="U13" s="183">
        <f t="shared" si="6"/>
        <v>7677</v>
      </c>
      <c r="V13" s="183">
        <f t="shared" si="6"/>
        <v>4062</v>
      </c>
      <c r="W13" s="183">
        <f t="shared" si="6"/>
        <v>3121</v>
      </c>
      <c r="X13" s="183">
        <f t="shared" si="6"/>
        <v>2118</v>
      </c>
      <c r="Y13" s="183">
        <f t="shared" si="6"/>
        <v>24</v>
      </c>
      <c r="Z13" s="183">
        <f t="shared" si="6"/>
        <v>591</v>
      </c>
      <c r="AA13" s="183">
        <f t="shared" si="6"/>
        <v>492</v>
      </c>
      <c r="AB13" s="183">
        <f t="shared" si="6"/>
        <v>123</v>
      </c>
      <c r="AC13" s="183">
        <f t="shared" si="6"/>
        <v>0</v>
      </c>
      <c r="AD13" s="183">
        <f t="shared" si="6"/>
        <v>0</v>
      </c>
      <c r="AE13" s="183">
        <f t="shared" si="6"/>
        <v>0</v>
      </c>
      <c r="AF13" s="183">
        <f>SUBTOTAL(9,AF9:AF12)</f>
        <v>0</v>
      </c>
      <c r="AG13" s="183">
        <f t="shared" ref="AG13:AT13" si="7">SUBTOTAL(9,AG8:AG12)</f>
        <v>53</v>
      </c>
      <c r="AH13" s="183">
        <f t="shared" si="7"/>
        <v>341</v>
      </c>
      <c r="AI13" s="183">
        <f t="shared" si="7"/>
        <v>373</v>
      </c>
      <c r="AJ13" s="183">
        <f t="shared" si="7"/>
        <v>24</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3572</v>
      </c>
      <c r="AZ13" s="183">
        <f>SUBTOTAL(9,AZ8:AZ12)</f>
        <v>8608</v>
      </c>
      <c r="BA13" s="183">
        <f>SUBTOTAL(9,BA8:BA12)</f>
        <v>8050</v>
      </c>
      <c r="BB13" s="183">
        <f>SUBTOTAL(9,BB8:BB12)</f>
        <v>4086</v>
      </c>
      <c r="BC13" s="183">
        <f>SUBTOTAL(9,BC8:BC12)</f>
        <v>2139</v>
      </c>
      <c r="BD13" s="204">
        <f>IF(ISNUMBER(BA13/AZ13),BA13/AZ13," - ")</f>
        <v>0.93517657992565051</v>
      </c>
      <c r="BE13" s="205">
        <f>IF(ISNUMBER(BB13/BA13),BB13/BA13, " - ")</f>
        <v>0.50757763975155279</v>
      </c>
      <c r="BF13" s="205">
        <f>IF(ISNUMBER(BC13/BA13),BC13/BA13, " - ")</f>
        <v>0.26571428571428574</v>
      </c>
      <c r="BG13" s="206">
        <f>IF(ISNUMBER((AY13+AZ13)/BA13),(AY13+AZ13)/BA13," - ")</f>
        <v>1.5130434782608695</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2200</v>
      </c>
      <c r="J15" s="182">
        <v>5724</v>
      </c>
      <c r="K15" s="182">
        <v>5838</v>
      </c>
      <c r="L15" s="182">
        <v>1846</v>
      </c>
      <c r="M15" s="182">
        <v>836</v>
      </c>
      <c r="N15" s="182">
        <v>3530</v>
      </c>
      <c r="O15" s="180">
        <v>176</v>
      </c>
      <c r="P15" s="182">
        <v>272</v>
      </c>
      <c r="Q15" s="182">
        <v>203</v>
      </c>
      <c r="R15" s="182">
        <v>317</v>
      </c>
      <c r="S15" s="182">
        <v>1851</v>
      </c>
      <c r="T15" s="182">
        <v>5917</v>
      </c>
      <c r="U15" s="182">
        <v>5723</v>
      </c>
      <c r="V15" s="182">
        <v>2200</v>
      </c>
      <c r="W15" s="182">
        <v>752</v>
      </c>
      <c r="X15" s="188">
        <v>3535</v>
      </c>
      <c r="Y15" s="201">
        <v>0</v>
      </c>
      <c r="Z15" s="182">
        <v>0</v>
      </c>
      <c r="AA15" s="182">
        <v>0</v>
      </c>
      <c r="AB15" s="182">
        <v>0</v>
      </c>
      <c r="AC15" s="182">
        <v>0</v>
      </c>
      <c r="AD15" s="182">
        <v>0</v>
      </c>
      <c r="AE15" s="182">
        <v>0</v>
      </c>
      <c r="AF15" s="188">
        <v>0</v>
      </c>
      <c r="AG15" s="201">
        <v>0</v>
      </c>
      <c r="AH15" s="182">
        <v>0</v>
      </c>
      <c r="AI15" s="182">
        <v>0</v>
      </c>
      <c r="AJ15" s="202">
        <v>0</v>
      </c>
      <c r="AK15" s="181">
        <v>0</v>
      </c>
      <c r="AL15" s="182">
        <v>0</v>
      </c>
      <c r="AM15" s="182">
        <v>0</v>
      </c>
      <c r="AN15" s="188">
        <v>0</v>
      </c>
      <c r="AO15" s="258">
        <v>3</v>
      </c>
      <c r="AP15" s="154">
        <v>3</v>
      </c>
      <c r="AQ15" s="154">
        <v>3</v>
      </c>
      <c r="AR15" s="154">
        <v>3</v>
      </c>
      <c r="AS15" s="339" t="s">
        <v>514</v>
      </c>
      <c r="AT15" s="202" t="s">
        <v>326</v>
      </c>
      <c r="AU15" s="201"/>
      <c r="AV15" s="202"/>
      <c r="AW15" s="201"/>
      <c r="AX15" s="202"/>
      <c r="AY15" s="128">
        <f t="shared" ref="AY15:BB16" si="9">IF(ISNUMBER(IF(D_I="SI",S15,S15+AK15)),IF(D_I="SI",S15,S15+AK15)," - ")</f>
        <v>1851</v>
      </c>
      <c r="AZ15" s="129">
        <f t="shared" si="9"/>
        <v>5917</v>
      </c>
      <c r="BA15" s="129">
        <f t="shared" si="9"/>
        <v>5723</v>
      </c>
      <c r="BB15" s="129">
        <f t="shared" si="9"/>
        <v>2200</v>
      </c>
      <c r="BC15" s="125">
        <f>IF(ISNUMBER(W15),W15," - ")</f>
        <v>752</v>
      </c>
      <c r="BD15" s="126">
        <f>IF(ISNUMBER(BA15/AZ15),BA15/AZ15," - ")</f>
        <v>0.96721311475409832</v>
      </c>
      <c r="BE15" s="127">
        <f>IF(ISNUMBER(BB15/BA15),BB15/BA15, " - ")</f>
        <v>0.38441376900227153</v>
      </c>
      <c r="BF15" s="127">
        <f>IF(ISNUMBER(BC15/BA15),BC15/BA15, " - ")</f>
        <v>0.13139961558623101</v>
      </c>
      <c r="BG15" s="195">
        <f t="shared" ref="BG15:BG16" si="10">IF(ISNUMBER((AY15+AZ15)/BA15),(AY15+AZ15)/BA15," - ")</f>
        <v>1.3573300716407479</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787</v>
      </c>
      <c r="EP15" s="997"/>
      <c r="EQ15" s="997"/>
      <c r="ER15" s="1001">
        <v>3300</v>
      </c>
      <c r="ES15" s="997"/>
      <c r="ET15" s="1141"/>
      <c r="EU15" s="1141"/>
      <c r="EV15" s="1154"/>
      <c r="EW15" s="1154"/>
      <c r="EX15" s="154"/>
      <c r="EY15" s="154"/>
      <c r="EZ15" s="154"/>
    </row>
    <row r="16" spans="1:156" ht="14.25" customHeight="1">
      <c r="A16" s="20" t="s">
        <v>901</v>
      </c>
      <c r="B16" s="21" t="s">
        <v>402</v>
      </c>
      <c r="C16" s="22" t="s">
        <v>3</v>
      </c>
      <c r="D16" s="23" t="s">
        <v>20</v>
      </c>
      <c r="E16" s="21" t="s">
        <v>20</v>
      </c>
      <c r="F16" s="21">
        <v>31</v>
      </c>
      <c r="G16" s="6"/>
      <c r="H16" s="24"/>
      <c r="I16" s="181">
        <v>152</v>
      </c>
      <c r="J16" s="182">
        <v>19</v>
      </c>
      <c r="K16" s="182">
        <v>99</v>
      </c>
      <c r="L16" s="182">
        <v>77</v>
      </c>
      <c r="M16" s="182">
        <v>3</v>
      </c>
      <c r="N16" s="182">
        <v>29</v>
      </c>
      <c r="O16" s="180">
        <v>0</v>
      </c>
      <c r="P16" s="182">
        <v>0</v>
      </c>
      <c r="Q16" s="182">
        <v>0</v>
      </c>
      <c r="R16" s="182">
        <v>0</v>
      </c>
      <c r="S16" s="182">
        <v>286</v>
      </c>
      <c r="T16" s="182">
        <v>25</v>
      </c>
      <c r="U16" s="182">
        <v>169</v>
      </c>
      <c r="V16" s="182">
        <v>152</v>
      </c>
      <c r="W16" s="182">
        <v>10</v>
      </c>
      <c r="X16" s="188">
        <v>57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0</v>
      </c>
      <c r="AP16" s="154">
        <v>0</v>
      </c>
      <c r="AQ16" s="154">
        <v>0</v>
      </c>
      <c r="AR16" s="154">
        <v>0</v>
      </c>
      <c r="AS16" s="339" t="s">
        <v>481</v>
      </c>
      <c r="AT16" s="202"/>
      <c r="AU16" s="201"/>
      <c r="AV16" s="202"/>
      <c r="AW16" s="201"/>
      <c r="AX16" s="202"/>
      <c r="AY16" s="126">
        <f t="shared" si="9"/>
        <v>286</v>
      </c>
      <c r="AZ16" s="127">
        <f t="shared" si="9"/>
        <v>25</v>
      </c>
      <c r="BA16" s="127">
        <f t="shared" si="9"/>
        <v>169</v>
      </c>
      <c r="BB16" s="127">
        <f t="shared" si="9"/>
        <v>152</v>
      </c>
      <c r="BC16" s="125">
        <f>IF(ISNUMBER(W16),W16," - ")</f>
        <v>10</v>
      </c>
      <c r="BD16" s="126">
        <f t="shared" ref="BD16" si="11">IF(ISNUMBER(BA16/AZ16),BA16/AZ16," - ")</f>
        <v>6.76</v>
      </c>
      <c r="BE16" s="127">
        <f t="shared" ref="BE16" si="12">IF(ISNUMBER(BB16/BA16),BB16/BA16, " - ")</f>
        <v>0.89940828402366868</v>
      </c>
      <c r="BF16" s="127">
        <f t="shared" ref="BF16" si="13">IF(ISNUMBER(BC16/BA16),BC16/BA16, " - ")</f>
        <v>5.9171597633136092E-2</v>
      </c>
      <c r="BG16" s="195">
        <f t="shared" si="10"/>
        <v>1.8402366863905326</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757</v>
      </c>
      <c r="EP16" s="997"/>
      <c r="EQ16" s="997"/>
      <c r="ER16" s="1001">
        <v>1000</v>
      </c>
      <c r="ES16" s="997"/>
      <c r="ET16" s="1141"/>
      <c r="EU16" s="1141"/>
      <c r="EV16" s="1154"/>
      <c r="EW16" s="1154"/>
      <c r="EX16" s="154"/>
      <c r="EY16" s="154"/>
      <c r="EZ16" s="154"/>
    </row>
    <row r="17" spans="1:156" ht="14.25" customHeight="1">
      <c r="A17" s="20" t="s">
        <v>902</v>
      </c>
      <c r="B17" s="21" t="s">
        <v>402</v>
      </c>
      <c r="C17" s="22" t="s">
        <v>3</v>
      </c>
      <c r="D17" s="23" t="s">
        <v>82</v>
      </c>
      <c r="E17" s="21" t="s">
        <v>82</v>
      </c>
      <c r="F17" s="21" t="s">
        <v>138</v>
      </c>
      <c r="G17" s="6"/>
      <c r="H17" s="24"/>
      <c r="I17" s="181">
        <v>275</v>
      </c>
      <c r="J17" s="182">
        <v>558</v>
      </c>
      <c r="K17" s="182">
        <v>420</v>
      </c>
      <c r="L17" s="182">
        <v>317</v>
      </c>
      <c r="M17" s="182">
        <v>56</v>
      </c>
      <c r="N17" s="182">
        <v>255</v>
      </c>
      <c r="O17" s="182">
        <v>0</v>
      </c>
      <c r="P17" s="182">
        <v>3</v>
      </c>
      <c r="Q17" s="182">
        <v>3</v>
      </c>
      <c r="R17" s="182">
        <v>5</v>
      </c>
      <c r="S17" s="182">
        <v>213</v>
      </c>
      <c r="T17" s="182">
        <v>546</v>
      </c>
      <c r="U17" s="182">
        <v>474</v>
      </c>
      <c r="V17" s="182">
        <v>275</v>
      </c>
      <c r="W17" s="182">
        <v>42</v>
      </c>
      <c r="X17" s="188">
        <v>259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776</v>
      </c>
      <c r="AT17" s="208"/>
      <c r="AU17" s="199"/>
      <c r="AV17" s="208"/>
      <c r="AW17" s="199"/>
      <c r="AX17" s="208"/>
      <c r="AY17" s="128">
        <f t="shared" ref="AY17:BB17" si="14">IF(ISNUMBER(S17),S17," - ")</f>
        <v>213</v>
      </c>
      <c r="AZ17" s="129">
        <f t="shared" si="14"/>
        <v>546</v>
      </c>
      <c r="BA17" s="129">
        <f t="shared" si="14"/>
        <v>474</v>
      </c>
      <c r="BB17" s="129">
        <f t="shared" si="14"/>
        <v>275</v>
      </c>
      <c r="BC17" s="125">
        <f>IF(ISNUMBER(W17),W17," - ")</f>
        <v>42</v>
      </c>
      <c r="BD17" s="126">
        <f>IF(ISNUMBER(BA17/AZ17),BA17/AZ17," - ")</f>
        <v>0.86813186813186816</v>
      </c>
      <c r="BE17" s="127">
        <f>IF(ISNUMBER(BB17/BA17),BB17/BA17, " - ")</f>
        <v>0.58016877637130804</v>
      </c>
      <c r="BF17" s="127">
        <f>IF(ISNUMBER(BC17/BA17),BC17/BA17, " - ")</f>
        <v>8.8607594936708861E-2</v>
      </c>
      <c r="BG17" s="195">
        <f>IF(ISNUMBER((AY17+AZ17)/BA17),(AY17+AZ17)/BA17," - ")</f>
        <v>1.6012658227848102</v>
      </c>
      <c r="BH17" s="154">
        <v>1</v>
      </c>
      <c r="BI17" s="154"/>
      <c r="BJ17" s="199"/>
      <c r="BK17" s="153"/>
      <c r="BL17" s="153"/>
      <c r="BM17" s="153">
        <v>1800</v>
      </c>
      <c r="BN17" s="153"/>
      <c r="BO17" s="153"/>
      <c r="BP17" s="153"/>
      <c r="BQ17" s="153"/>
      <c r="BR17" s="153"/>
      <c r="BS17" s="153"/>
      <c r="BT17" s="153"/>
      <c r="BU17" s="153"/>
      <c r="BV17" s="153"/>
      <c r="BW17" s="153"/>
      <c r="BX17" s="153"/>
      <c r="BY17" s="173" t="s">
        <v>716</v>
      </c>
      <c r="BZ17" s="173" t="s">
        <v>717</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758</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2627</v>
      </c>
      <c r="J18" s="183">
        <f t="shared" si="15"/>
        <v>6301</v>
      </c>
      <c r="K18" s="183">
        <f t="shared" si="15"/>
        <v>6357</v>
      </c>
      <c r="L18" s="183">
        <f t="shared" si="15"/>
        <v>2240</v>
      </c>
      <c r="M18" s="183">
        <f t="shared" si="15"/>
        <v>895</v>
      </c>
      <c r="N18" s="183">
        <f t="shared" si="15"/>
        <v>3814</v>
      </c>
      <c r="O18" s="183">
        <f t="shared" si="15"/>
        <v>176</v>
      </c>
      <c r="P18" s="183">
        <f t="shared" si="15"/>
        <v>275</v>
      </c>
      <c r="Q18" s="183">
        <f t="shared" si="15"/>
        <v>206</v>
      </c>
      <c r="R18" s="183">
        <f t="shared" si="15"/>
        <v>322</v>
      </c>
      <c r="S18" s="183">
        <f t="shared" si="15"/>
        <v>2350</v>
      </c>
      <c r="T18" s="183">
        <f t="shared" si="15"/>
        <v>6488</v>
      </c>
      <c r="U18" s="183">
        <f t="shared" si="15"/>
        <v>6366</v>
      </c>
      <c r="V18" s="183">
        <f t="shared" si="15"/>
        <v>2627</v>
      </c>
      <c r="W18" s="183">
        <f t="shared" si="15"/>
        <v>804</v>
      </c>
      <c r="X18" s="183">
        <f t="shared" si="15"/>
        <v>3851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2350</v>
      </c>
      <c r="AZ18" s="183">
        <f>SUBTOTAL(9,AZ14:AZ17)</f>
        <v>6488</v>
      </c>
      <c r="BA18" s="183">
        <f>SUBTOTAL(9,BA14:BA17)</f>
        <v>6366</v>
      </c>
      <c r="BB18" s="183">
        <f>SUBTOTAL(9,BB14:BB17)</f>
        <v>2627</v>
      </c>
      <c r="BC18" s="183">
        <f>SUBTOTAL(9,BC14:BC17)</f>
        <v>804</v>
      </c>
      <c r="BD18" s="204">
        <f>IF(ISNUMBER(BA18/AZ18),BA18/AZ18," - ")</f>
        <v>0.98119605425400735</v>
      </c>
      <c r="BE18" s="205">
        <f>IF(ISNUMBER(BB18/BA18),BB18/BA18, " - ")</f>
        <v>0.41266101162425384</v>
      </c>
      <c r="BF18" s="205">
        <f>IF(ISNUMBER(BC18/BA18),BC18/BA18, " - ")</f>
        <v>0.12629594721960416</v>
      </c>
      <c r="BG18" s="206">
        <f>IF(ISNUMBER((AY18+AZ18)/BA18),(AY18+AZ18)/BA18," - ")</f>
        <v>1.3883129123468425</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6691</v>
      </c>
      <c r="J19" s="134">
        <f t="shared" si="18"/>
        <v>14201</v>
      </c>
      <c r="K19" s="134">
        <f t="shared" si="18"/>
        <v>15587</v>
      </c>
      <c r="L19" s="134">
        <f t="shared" si="18"/>
        <v>4850</v>
      </c>
      <c r="M19" s="134">
        <f t="shared" si="18"/>
        <v>4142</v>
      </c>
      <c r="N19" s="134">
        <f t="shared" si="18"/>
        <v>6512</v>
      </c>
      <c r="O19" s="134">
        <f t="shared" si="18"/>
        <v>4042</v>
      </c>
      <c r="P19" s="134">
        <f t="shared" si="18"/>
        <v>2970</v>
      </c>
      <c r="Q19" s="134">
        <f t="shared" si="18"/>
        <v>1222</v>
      </c>
      <c r="R19" s="134">
        <f t="shared" si="18"/>
        <v>9252</v>
      </c>
      <c r="S19" s="134">
        <f t="shared" si="18"/>
        <v>5869</v>
      </c>
      <c r="T19" s="134">
        <f t="shared" si="18"/>
        <v>14755</v>
      </c>
      <c r="U19" s="134">
        <f t="shared" si="18"/>
        <v>14043</v>
      </c>
      <c r="V19" s="134">
        <f t="shared" si="18"/>
        <v>6689</v>
      </c>
      <c r="W19" s="134">
        <f t="shared" si="18"/>
        <v>3925</v>
      </c>
      <c r="X19" s="134">
        <f t="shared" si="18"/>
        <v>5969</v>
      </c>
      <c r="Y19" s="134">
        <f t="shared" si="18"/>
        <v>24</v>
      </c>
      <c r="Z19" s="134">
        <f t="shared" si="18"/>
        <v>591</v>
      </c>
      <c r="AA19" s="134">
        <f t="shared" si="18"/>
        <v>492</v>
      </c>
      <c r="AB19" s="134">
        <f t="shared" si="18"/>
        <v>123</v>
      </c>
      <c r="AC19" s="134">
        <f t="shared" si="18"/>
        <v>0</v>
      </c>
      <c r="AD19" s="134">
        <f t="shared" si="18"/>
        <v>0</v>
      </c>
      <c r="AE19" s="134">
        <f t="shared" si="18"/>
        <v>0</v>
      </c>
      <c r="AF19" s="134">
        <f t="shared" si="18"/>
        <v>0</v>
      </c>
      <c r="AG19" s="134">
        <f t="shared" si="18"/>
        <v>53</v>
      </c>
      <c r="AH19" s="134">
        <f t="shared" si="18"/>
        <v>341</v>
      </c>
      <c r="AI19" s="134">
        <f t="shared" si="18"/>
        <v>373</v>
      </c>
      <c r="AJ19" s="134">
        <f t="shared" si="18"/>
        <v>24</v>
      </c>
      <c r="AK19" s="134">
        <f t="shared" si="18"/>
        <v>0</v>
      </c>
      <c r="AL19" s="134">
        <f t="shared" si="18"/>
        <v>0</v>
      </c>
      <c r="AM19" s="134">
        <f t="shared" si="18"/>
        <v>0</v>
      </c>
      <c r="AN19" s="209">
        <f t="shared" si="18"/>
        <v>0</v>
      </c>
      <c r="AO19" s="210">
        <v>10</v>
      </c>
      <c r="AP19" s="210">
        <v>9</v>
      </c>
      <c r="AQ19" s="210">
        <v>9</v>
      </c>
      <c r="AR19" s="210">
        <v>9</v>
      </c>
      <c r="AS19" s="152">
        <f t="shared" si="18"/>
        <v>0</v>
      </c>
      <c r="AT19" s="152">
        <f t="shared" si="18"/>
        <v>0</v>
      </c>
      <c r="AU19" s="210"/>
      <c r="AV19" s="211"/>
      <c r="AW19" s="210"/>
      <c r="AX19" s="211"/>
      <c r="AY19" s="133">
        <f>SUBTOTAL(9,AY9:AY18)</f>
        <v>5922</v>
      </c>
      <c r="AZ19" s="134">
        <f>SUBTOTAL(9,AZ9:AZ18)</f>
        <v>15096</v>
      </c>
      <c r="BA19" s="134">
        <f>SUBTOTAL(9,BA9:BA18)</f>
        <v>14416</v>
      </c>
      <c r="BB19" s="134">
        <f>SUBTOTAL(9,BB9:BB18)</f>
        <v>6713</v>
      </c>
      <c r="BC19" s="135">
        <f>SUBTOTAL(9,BC9:BC18)</f>
        <v>2943</v>
      </c>
      <c r="BD19" s="212">
        <f>IF(ISNUMBER(BA19/AZ19),BA19/AZ19," - ")</f>
        <v>0.95495495495495497</v>
      </c>
      <c r="BE19" s="209">
        <f>IF(ISNUMBER(BB19/BA19),BB19/BA19, " - ")</f>
        <v>0.46566315205327413</v>
      </c>
      <c r="BF19" s="209">
        <f>IF(ISNUMBER(BC19/BA19),BC19/BA19, " - ")</f>
        <v>0.20414816870144284</v>
      </c>
      <c r="BG19" s="135">
        <f>IF(ISNUMBER((AY19+AZ19)/BA19),(AY19+AZ19)/BA19," - ")</f>
        <v>1.4579633740288569</v>
      </c>
      <c r="BH19" s="210">
        <f>SUBTOTAL(9,BH9:BH18)</f>
        <v>11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ZmXe2zJLgLgksEEU1l8ai9QslbRBuOc+t1ZRbkHsWgpVGBi5NDa7+6HSb4cBLrseiya//EMGU0/igH+ONsQ9Q==" saltValue="NsMz6tEXzE8xDKstYv7Vg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476</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607</v>
      </c>
      <c r="ED5" s="1390" t="s">
        <v>577</v>
      </c>
      <c r="EE5" s="1390" t="s">
        <v>610</v>
      </c>
      <c r="EF5" s="1390" t="s">
        <v>611</v>
      </c>
      <c r="EG5" s="1359" t="s">
        <v>612</v>
      </c>
      <c r="EH5" s="1359" t="s">
        <v>613</v>
      </c>
      <c r="EI5" s="1359" t="s">
        <v>579</v>
      </c>
      <c r="EJ5" s="1359" t="s">
        <v>580</v>
      </c>
      <c r="EK5" s="1488" t="s">
        <v>657</v>
      </c>
      <c r="EL5" s="1377" t="s">
        <v>673</v>
      </c>
      <c r="EM5" s="1378"/>
      <c r="EN5" s="1379"/>
      <c r="EO5" s="1371" t="s">
        <v>729</v>
      </c>
      <c r="EP5" s="1371" t="s">
        <v>731</v>
      </c>
      <c r="EQ5" s="1371" t="s">
        <v>732</v>
      </c>
      <c r="ER5" s="1371" t="s">
        <v>737</v>
      </c>
      <c r="ES5" s="1371" t="s">
        <v>742</v>
      </c>
      <c r="ET5" s="1368" t="s">
        <v>802</v>
      </c>
      <c r="EU5" s="1368" t="s">
        <v>803</v>
      </c>
      <c r="EV5" s="1396" t="s">
        <v>819</v>
      </c>
      <c r="EW5" s="1359" t="s">
        <v>822</v>
      </c>
      <c r="EX5" s="1479" t="s">
        <v>836</v>
      </c>
      <c r="EY5" s="1473" t="s">
        <v>841</v>
      </c>
      <c r="EZ5" s="1470" t="s">
        <v>883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728</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674</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730</v>
      </c>
      <c r="EP8" s="50" t="s">
        <v>735</v>
      </c>
      <c r="EQ8" s="50" t="s">
        <v>736</v>
      </c>
      <c r="ER8" s="469">
        <v>148</v>
      </c>
      <c r="ES8" s="469" t="s">
        <v>743</v>
      </c>
      <c r="ET8" s="1140" t="s">
        <v>804</v>
      </c>
      <c r="EU8" s="1140" t="s">
        <v>805</v>
      </c>
      <c r="EV8" s="1140" t="s">
        <v>813</v>
      </c>
      <c r="EW8" s="469" t="s">
        <v>821</v>
      </c>
      <c r="EX8" s="469" t="s">
        <v>835</v>
      </c>
      <c r="EY8" s="469" t="s">
        <v>840</v>
      </c>
      <c r="EZ8" s="469" t="s">
        <v>884</v>
      </c>
    </row>
    <row r="9" spans="1:156" ht="14.25" customHeight="1">
      <c r="A9" s="20" t="s">
        <v>45</v>
      </c>
      <c r="B9" s="21" t="s">
        <v>402</v>
      </c>
      <c r="C9" s="22" t="s">
        <v>3</v>
      </c>
      <c r="D9" s="23" t="s">
        <v>20</v>
      </c>
      <c r="E9" s="21" t="s">
        <v>21</v>
      </c>
      <c r="F9" s="21">
        <v>32</v>
      </c>
      <c r="G9" s="6"/>
      <c r="H9" s="136" t="s">
        <v>245</v>
      </c>
      <c r="I9" s="1178" t="s">
        <v>867</v>
      </c>
      <c r="J9" s="1177" t="s">
        <v>868</v>
      </c>
      <c r="K9" s="1177" t="s">
        <v>869</v>
      </c>
      <c r="L9" s="1177" t="s">
        <v>870</v>
      </c>
      <c r="M9" s="57" t="s">
        <v>839</v>
      </c>
      <c r="N9" s="57" t="s">
        <v>842</v>
      </c>
      <c r="O9" s="57" t="s">
        <v>323</v>
      </c>
      <c r="P9" s="57" t="s">
        <v>371</v>
      </c>
      <c r="Q9" s="57" t="s">
        <v>372</v>
      </c>
      <c r="R9" s="57" t="s">
        <v>373</v>
      </c>
      <c r="S9" s="57"/>
      <c r="T9" s="57"/>
      <c r="U9" s="57"/>
      <c r="V9" s="57"/>
      <c r="W9" s="57"/>
      <c r="X9" s="61"/>
      <c r="Y9" s="1181" t="s">
        <v>864</v>
      </c>
      <c r="Z9" s="1177" t="s">
        <v>863</v>
      </c>
      <c r="AA9" s="1177" t="s">
        <v>865</v>
      </c>
      <c r="AB9" s="1177" t="s">
        <v>866</v>
      </c>
      <c r="AC9" s="57"/>
      <c r="AD9" s="57"/>
      <c r="AE9" s="57"/>
      <c r="AF9" s="61"/>
      <c r="AG9" s="62"/>
      <c r="AH9" s="57"/>
      <c r="AI9" s="57"/>
      <c r="AJ9" s="63"/>
      <c r="AK9" s="58"/>
      <c r="AL9" s="57"/>
      <c r="AM9" s="57"/>
      <c r="AN9" s="61"/>
      <c r="AO9" s="64"/>
      <c r="AP9" s="64"/>
      <c r="AQ9" s="64"/>
      <c r="AR9" s="60"/>
      <c r="AS9" s="316" t="s">
        <v>847</v>
      </c>
      <c r="AT9" s="194"/>
      <c r="AU9" s="316" t="s">
        <v>792</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491</v>
      </c>
      <c r="BW9" s="155" t="s">
        <v>303</v>
      </c>
      <c r="BX9" s="155" t="s">
        <v>304</v>
      </c>
      <c r="BY9" s="155" t="s">
        <v>876</v>
      </c>
      <c r="BZ9" s="155" t="s">
        <v>478</v>
      </c>
      <c r="CA9" s="155" t="s">
        <v>412</v>
      </c>
      <c r="CB9" s="155" t="s">
        <v>413</v>
      </c>
      <c r="CC9" s="155" t="s">
        <v>414</v>
      </c>
      <c r="CD9" s="155" t="s">
        <v>415</v>
      </c>
      <c r="CE9" s="155"/>
      <c r="CF9" s="155"/>
      <c r="CG9" s="155"/>
      <c r="CH9" s="155"/>
      <c r="CI9" s="155" t="s">
        <v>498</v>
      </c>
      <c r="CJ9" s="155" t="s">
        <v>416</v>
      </c>
      <c r="CK9" s="155" t="s">
        <v>485</v>
      </c>
      <c r="CL9" s="155" t="s">
        <v>487</v>
      </c>
      <c r="CM9" s="155" t="s">
        <v>489</v>
      </c>
      <c r="CN9" s="155">
        <v>1088</v>
      </c>
      <c r="CO9" s="155">
        <v>720</v>
      </c>
      <c r="CP9" s="155">
        <v>1088</v>
      </c>
      <c r="CQ9" s="288" t="s">
        <v>877</v>
      </c>
      <c r="CR9" s="288" t="s">
        <v>479</v>
      </c>
      <c r="CS9" s="155"/>
      <c r="CT9" s="155"/>
      <c r="CU9" s="155"/>
      <c r="CV9" s="155" t="s">
        <v>496</v>
      </c>
      <c r="CW9" s="155" t="s">
        <v>411</v>
      </c>
      <c r="CX9" s="155" t="s">
        <v>343</v>
      </c>
      <c r="CY9" s="155" t="s">
        <v>439</v>
      </c>
      <c r="CZ9" s="155" t="s">
        <v>440</v>
      </c>
      <c r="DA9" s="155" t="s">
        <v>441</v>
      </c>
      <c r="DB9" s="316" t="s">
        <v>848</v>
      </c>
      <c r="DC9" s="316" t="s">
        <v>849</v>
      </c>
      <c r="DD9" s="155"/>
      <c r="DE9" s="155" t="s">
        <v>241</v>
      </c>
      <c r="DF9" s="155"/>
      <c r="DG9" s="155" t="s">
        <v>445</v>
      </c>
      <c r="DH9" s="155" t="s">
        <v>493</v>
      </c>
      <c r="DI9" s="155" t="s">
        <v>494</v>
      </c>
      <c r="DJ9" s="155" t="s">
        <v>495</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780</v>
      </c>
      <c r="EM9" s="288" t="s">
        <v>781</v>
      </c>
      <c r="EN9" s="155" t="s">
        <v>779</v>
      </c>
      <c r="EO9" s="988" t="s">
        <v>850</v>
      </c>
      <c r="EP9" s="988" t="s">
        <v>855</v>
      </c>
      <c r="EQ9" s="988" t="s">
        <v>857</v>
      </c>
      <c r="ER9" s="999">
        <v>1200</v>
      </c>
      <c r="ES9" s="996"/>
      <c r="ET9" s="1141"/>
      <c r="EU9" s="1141"/>
      <c r="EV9" s="155" t="s">
        <v>816</v>
      </c>
      <c r="EW9" s="155"/>
      <c r="EX9" s="155"/>
      <c r="EY9" s="155"/>
      <c r="EZ9" s="155"/>
    </row>
    <row r="10" spans="1:156" ht="14.25" customHeight="1">
      <c r="A10" s="20" t="s">
        <v>902</v>
      </c>
      <c r="B10" s="21" t="s">
        <v>402</v>
      </c>
      <c r="C10" s="22" t="s">
        <v>3</v>
      </c>
      <c r="D10" s="23" t="s">
        <v>82</v>
      </c>
      <c r="E10" s="21" t="s">
        <v>82</v>
      </c>
      <c r="F10" s="21" t="s">
        <v>138</v>
      </c>
      <c r="G10" s="6"/>
      <c r="H10" s="136"/>
      <c r="I10" s="1179" t="s">
        <v>897</v>
      </c>
      <c r="J10" s="1180" t="s">
        <v>890</v>
      </c>
      <c r="K10" s="1180" t="s">
        <v>893</v>
      </c>
      <c r="L10" s="1180" t="s">
        <v>898</v>
      </c>
      <c r="M10" s="57" t="s">
        <v>505</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744</v>
      </c>
      <c r="AT10" s="63"/>
      <c r="AU10" s="147" t="s">
        <v>745</v>
      </c>
      <c r="AV10" s="63"/>
      <c r="AW10" s="147"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888</v>
      </c>
      <c r="BZ10" s="153"/>
      <c r="CA10" s="153"/>
      <c r="CB10" s="153"/>
      <c r="CC10" s="153"/>
      <c r="CD10" s="153"/>
      <c r="CE10" s="153"/>
      <c r="CF10" s="153"/>
      <c r="CG10" s="153"/>
      <c r="CH10" s="153"/>
      <c r="CI10" s="153" t="s">
        <v>500</v>
      </c>
      <c r="CJ10" s="153" t="s">
        <v>300</v>
      </c>
      <c r="CK10" s="153" t="s">
        <v>459</v>
      </c>
      <c r="CL10" s="153" t="s">
        <v>460</v>
      </c>
      <c r="CM10" s="153" t="s">
        <v>461</v>
      </c>
      <c r="CN10" s="153">
        <v>1175</v>
      </c>
      <c r="CO10" s="153">
        <v>0</v>
      </c>
      <c r="CP10" s="288" t="s">
        <v>418</v>
      </c>
      <c r="CQ10" s="153" t="s">
        <v>889</v>
      </c>
      <c r="CR10" s="153"/>
      <c r="CS10" s="153"/>
      <c r="CT10" s="155"/>
      <c r="CU10" s="155"/>
      <c r="CV10" s="155" t="s">
        <v>315</v>
      </c>
      <c r="CW10" s="155" t="s">
        <v>339</v>
      </c>
      <c r="CX10" s="155" t="s">
        <v>342</v>
      </c>
      <c r="CY10" s="155" t="s">
        <v>501</v>
      </c>
      <c r="CZ10" s="155" t="s">
        <v>502</v>
      </c>
      <c r="DA10" s="155" t="s">
        <v>503</v>
      </c>
      <c r="DB10" s="319" t="s">
        <v>890</v>
      </c>
      <c r="DC10" s="318"/>
      <c r="DD10" s="155"/>
      <c r="DE10" s="155" t="s">
        <v>242</v>
      </c>
      <c r="DF10" s="155"/>
      <c r="DG10" s="155" t="s">
        <v>504</v>
      </c>
      <c r="DH10" s="153" t="s">
        <v>432</v>
      </c>
      <c r="DI10" s="153" t="s">
        <v>430</v>
      </c>
      <c r="DJ10" s="153" t="s">
        <v>431</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1000">
        <v>1600</v>
      </c>
      <c r="ES10" s="338"/>
      <c r="ET10" s="1141"/>
      <c r="EU10" s="1141"/>
      <c r="EV10" s="155" t="s">
        <v>818</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871</v>
      </c>
      <c r="J11" s="1176" t="s">
        <v>872</v>
      </c>
      <c r="K11" s="1176" t="s">
        <v>873</v>
      </c>
      <c r="L11" s="1176" t="s">
        <v>874</v>
      </c>
      <c r="M11" s="26" t="s">
        <v>483</v>
      </c>
      <c r="N11" s="26" t="s">
        <v>38</v>
      </c>
      <c r="O11" s="57" t="s">
        <v>224</v>
      </c>
      <c r="P11" s="26" t="s">
        <v>39</v>
      </c>
      <c r="Q11" s="26" t="s">
        <v>40</v>
      </c>
      <c r="R11" s="26" t="s">
        <v>91</v>
      </c>
      <c r="S11" s="26"/>
      <c r="T11" s="26"/>
      <c r="U11" s="26"/>
      <c r="V11" s="26"/>
      <c r="W11" s="26"/>
      <c r="X11" s="52"/>
      <c r="Y11" s="1181" t="s">
        <v>864</v>
      </c>
      <c r="Z11" s="1177" t="s">
        <v>875</v>
      </c>
      <c r="AA11" s="1177" t="s">
        <v>865</v>
      </c>
      <c r="AB11" s="1177"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490</v>
      </c>
      <c r="BW11" s="155" t="s">
        <v>254</v>
      </c>
      <c r="BX11" s="155" t="s">
        <v>255</v>
      </c>
      <c r="BY11" s="156" t="s">
        <v>854</v>
      </c>
      <c r="BZ11" s="155" t="s">
        <v>881</v>
      </c>
      <c r="CA11" s="155" t="s">
        <v>290</v>
      </c>
      <c r="CB11" s="155" t="s">
        <v>285</v>
      </c>
      <c r="CC11" s="155" t="s">
        <v>286</v>
      </c>
      <c r="CD11" s="155" t="s">
        <v>287</v>
      </c>
      <c r="CE11" s="156"/>
      <c r="CF11" s="156"/>
      <c r="CG11" s="156"/>
      <c r="CH11" s="156"/>
      <c r="CI11" s="156" t="s">
        <v>480</v>
      </c>
      <c r="CJ11" s="156" t="s">
        <v>298</v>
      </c>
      <c r="CK11" s="155" t="s">
        <v>484</v>
      </c>
      <c r="CL11" s="155" t="s">
        <v>486</v>
      </c>
      <c r="CM11" s="155" t="s">
        <v>488</v>
      </c>
      <c r="CN11" s="155">
        <v>1088</v>
      </c>
      <c r="CO11" s="156">
        <v>1000</v>
      </c>
      <c r="CP11" s="155">
        <v>1088</v>
      </c>
      <c r="CQ11" s="155" t="s">
        <v>832</v>
      </c>
      <c r="CR11" s="155" t="s">
        <v>882</v>
      </c>
      <c r="CS11" s="156"/>
      <c r="CT11" s="155"/>
      <c r="CU11" s="155"/>
      <c r="CV11" s="155" t="s">
        <v>496</v>
      </c>
      <c r="CW11" s="155" t="s">
        <v>336</v>
      </c>
      <c r="CX11" s="155" t="s">
        <v>343</v>
      </c>
      <c r="CY11" s="155" t="s">
        <v>439</v>
      </c>
      <c r="CZ11" s="155" t="s">
        <v>440</v>
      </c>
      <c r="DA11" s="155" t="s">
        <v>441</v>
      </c>
      <c r="DB11" s="146" t="s">
        <v>843</v>
      </c>
      <c r="DC11" s="146" t="s">
        <v>844</v>
      </c>
      <c r="DD11" s="155"/>
      <c r="DE11" s="155" t="s">
        <v>243</v>
      </c>
      <c r="DF11" s="155"/>
      <c r="DG11" s="155" t="s">
        <v>445</v>
      </c>
      <c r="DH11" s="155" t="s">
        <v>493</v>
      </c>
      <c r="DI11" s="155" t="s">
        <v>494</v>
      </c>
      <c r="DJ11" s="155" t="s">
        <v>495</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7" t="s">
        <v>851</v>
      </c>
      <c r="EP11" s="987" t="s">
        <v>833</v>
      </c>
      <c r="EQ11" s="987" t="s">
        <v>834</v>
      </c>
      <c r="ER11" s="1001">
        <v>1323</v>
      </c>
      <c r="ES11" s="997"/>
      <c r="ET11" s="1141"/>
      <c r="EU11" s="1141"/>
      <c r="EV11" s="155" t="s">
        <v>815</v>
      </c>
      <c r="EW11" s="288"/>
      <c r="EX11" s="288"/>
      <c r="EY11" s="288"/>
      <c r="EZ11" s="288"/>
    </row>
    <row r="12" spans="1:156" ht="14.25" customHeight="1">
      <c r="A12" s="20" t="s">
        <v>901</v>
      </c>
      <c r="B12" s="21" t="s">
        <v>402</v>
      </c>
      <c r="C12" s="22" t="s">
        <v>3</v>
      </c>
      <c r="D12" s="23" t="s">
        <v>20</v>
      </c>
      <c r="E12" s="21" t="s">
        <v>20</v>
      </c>
      <c r="F12" s="21">
        <v>31</v>
      </c>
      <c r="G12" s="6"/>
      <c r="H12" s="29"/>
      <c r="I12" s="1175" t="s">
        <v>900</v>
      </c>
      <c r="J12" s="1176" t="s">
        <v>891</v>
      </c>
      <c r="K12" s="1176" t="s">
        <v>894</v>
      </c>
      <c r="L12" s="1176" t="s">
        <v>899</v>
      </c>
      <c r="M12" s="26" t="s">
        <v>838</v>
      </c>
      <c r="N12" s="26" t="s">
        <v>38</v>
      </c>
      <c r="O12" s="57" t="s">
        <v>224</v>
      </c>
      <c r="P12" s="26" t="s">
        <v>381</v>
      </c>
      <c r="Q12" s="26" t="s">
        <v>382</v>
      </c>
      <c r="R12" s="26" t="s">
        <v>383</v>
      </c>
      <c r="S12" s="26"/>
      <c r="T12" s="26"/>
      <c r="U12" s="26"/>
      <c r="V12" s="26"/>
      <c r="W12" s="26"/>
      <c r="X12" s="52"/>
      <c r="Y12" s="1181" t="s">
        <v>864</v>
      </c>
      <c r="Z12" s="1177" t="s">
        <v>863</v>
      </c>
      <c r="AA12" s="1177" t="s">
        <v>865</v>
      </c>
      <c r="AB12" s="1177"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492</v>
      </c>
      <c r="BW12" s="155" t="s">
        <v>384</v>
      </c>
      <c r="BX12" s="155" t="s">
        <v>385</v>
      </c>
      <c r="BY12" s="156" t="s">
        <v>896</v>
      </c>
      <c r="BZ12" s="155"/>
      <c r="CA12" s="155" t="s">
        <v>290</v>
      </c>
      <c r="CB12" s="155" t="s">
        <v>285</v>
      </c>
      <c r="CC12" s="155" t="s">
        <v>286</v>
      </c>
      <c r="CD12" s="155" t="s">
        <v>287</v>
      </c>
      <c r="CE12" s="156"/>
      <c r="CF12" s="156"/>
      <c r="CG12" s="156"/>
      <c r="CH12" s="156"/>
      <c r="CI12" s="156" t="s">
        <v>480</v>
      </c>
      <c r="CJ12" s="156" t="s">
        <v>298</v>
      </c>
      <c r="CK12" s="155" t="s">
        <v>485</v>
      </c>
      <c r="CL12" s="155" t="s">
        <v>487</v>
      </c>
      <c r="CM12" s="155" t="s">
        <v>489</v>
      </c>
      <c r="CN12" s="288" t="s">
        <v>332</v>
      </c>
      <c r="CO12" s="156">
        <v>2880</v>
      </c>
      <c r="CP12" s="288" t="s">
        <v>307</v>
      </c>
      <c r="CQ12" s="288" t="s">
        <v>878</v>
      </c>
      <c r="CR12" s="288"/>
      <c r="CS12" s="156"/>
      <c r="CT12" s="155"/>
      <c r="CU12" s="155"/>
      <c r="CV12" s="155" t="s">
        <v>496</v>
      </c>
      <c r="CW12" s="155" t="s">
        <v>336</v>
      </c>
      <c r="CX12" s="155" t="s">
        <v>343</v>
      </c>
      <c r="CY12" s="155" t="s">
        <v>439</v>
      </c>
      <c r="CZ12" s="155" t="s">
        <v>440</v>
      </c>
      <c r="DA12" s="155" t="s">
        <v>441</v>
      </c>
      <c r="DB12" s="316" t="s">
        <v>845</v>
      </c>
      <c r="DC12" s="316" t="s">
        <v>846</v>
      </c>
      <c r="DD12" s="155"/>
      <c r="DE12" s="155" t="s">
        <v>244</v>
      </c>
      <c r="DF12" s="155"/>
      <c r="DG12" s="155" t="s">
        <v>445</v>
      </c>
      <c r="DH12" s="155" t="s">
        <v>493</v>
      </c>
      <c r="DI12" s="155" t="s">
        <v>494</v>
      </c>
      <c r="DJ12" s="155" t="s">
        <v>495</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780</v>
      </c>
      <c r="EM12" s="288" t="s">
        <v>781</v>
      </c>
      <c r="EN12" s="155" t="s">
        <v>779</v>
      </c>
      <c r="EO12" s="988" t="s">
        <v>853</v>
      </c>
      <c r="EP12" s="988" t="s">
        <v>856</v>
      </c>
      <c r="EQ12" s="988" t="s">
        <v>858</v>
      </c>
      <c r="ER12" s="999">
        <v>680</v>
      </c>
      <c r="ES12" s="998"/>
      <c r="ET12" s="1141"/>
      <c r="EU12" s="1141"/>
      <c r="EV12" s="155" t="s">
        <v>815</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747</v>
      </c>
      <c r="BZ15" s="213" t="s">
        <v>879</v>
      </c>
      <c r="CA15" s="154"/>
      <c r="CB15" s="154"/>
      <c r="CC15" s="154"/>
      <c r="CD15" s="154"/>
      <c r="CE15" s="154"/>
      <c r="CF15" s="154"/>
      <c r="CG15" s="154"/>
      <c r="CH15" s="154"/>
      <c r="CI15" s="154" t="s">
        <v>482</v>
      </c>
      <c r="CJ15" s="154" t="s">
        <v>397</v>
      </c>
      <c r="CK15" s="154" t="s">
        <v>462</v>
      </c>
      <c r="CL15" s="154" t="s">
        <v>463</v>
      </c>
      <c r="CM15" s="154" t="s">
        <v>464</v>
      </c>
      <c r="CN15" s="154">
        <v>1262</v>
      </c>
      <c r="CO15" s="154">
        <v>6600</v>
      </c>
      <c r="CP15" s="154">
        <v>1262</v>
      </c>
      <c r="CQ15" s="213" t="s">
        <v>509</v>
      </c>
      <c r="CR15" s="213" t="s">
        <v>880</v>
      </c>
      <c r="CS15" s="154" t="s">
        <v>389</v>
      </c>
      <c r="CT15" s="155"/>
      <c r="CU15" s="155"/>
      <c r="CV15" s="155" t="s">
        <v>374</v>
      </c>
      <c r="CW15" s="155" t="s">
        <v>337</v>
      </c>
      <c r="CX15" s="155" t="s">
        <v>159</v>
      </c>
      <c r="CY15" s="155"/>
      <c r="CZ15" s="155"/>
      <c r="DA15" s="155"/>
      <c r="DB15" s="146" t="s">
        <v>760</v>
      </c>
      <c r="DC15" s="146" t="s">
        <v>761</v>
      </c>
      <c r="DD15" s="155"/>
      <c r="DE15" s="155" t="s">
        <v>511</v>
      </c>
      <c r="DF15" s="155" t="s">
        <v>410</v>
      </c>
      <c r="DG15" s="155"/>
      <c r="DH15" s="154" t="s">
        <v>427</v>
      </c>
      <c r="DI15" s="154" t="s">
        <v>428</v>
      </c>
      <c r="DJ15" s="154" t="s">
        <v>429</v>
      </c>
      <c r="DK15" s="154"/>
      <c r="DL15" s="154"/>
      <c r="DM15" s="154"/>
      <c r="DN15" s="154"/>
      <c r="DO15" s="154"/>
      <c r="DP15" s="154"/>
      <c r="DQ15" s="154"/>
      <c r="DR15" s="154"/>
      <c r="DS15" s="154"/>
      <c r="DT15" s="154"/>
      <c r="DU15" s="154" t="s">
        <v>596</v>
      </c>
      <c r="DV15" s="154"/>
      <c r="DW15" s="154"/>
      <c r="DX15" s="154"/>
      <c r="DY15" s="154"/>
      <c r="DZ15" s="154"/>
      <c r="EA15" s="154"/>
      <c r="EB15" s="154" t="s">
        <v>727</v>
      </c>
      <c r="EC15" s="154" t="s">
        <v>604</v>
      </c>
      <c r="ED15" s="154"/>
      <c r="EE15" s="154">
        <v>6000</v>
      </c>
      <c r="EF15" s="154">
        <v>650</v>
      </c>
      <c r="EG15" s="154"/>
      <c r="EH15" s="154"/>
      <c r="EI15" s="154" t="s">
        <v>605</v>
      </c>
      <c r="EJ15" s="154"/>
      <c r="EK15" s="154"/>
      <c r="EL15" s="154"/>
      <c r="EM15" s="154"/>
      <c r="EN15" s="154"/>
      <c r="EO15" s="987" t="s">
        <v>789</v>
      </c>
      <c r="EP15" s="987" t="s">
        <v>791</v>
      </c>
      <c r="EQ15" s="987" t="s">
        <v>797</v>
      </c>
      <c r="ER15" s="1002" t="s">
        <v>750</v>
      </c>
      <c r="ES15" s="997"/>
      <c r="ET15" s="1141"/>
      <c r="EU15" s="1141"/>
      <c r="EV15" s="155" t="s">
        <v>814</v>
      </c>
      <c r="EW15" s="154"/>
      <c r="EX15" s="154"/>
      <c r="EY15" s="154"/>
      <c r="EZ15" s="154"/>
    </row>
    <row r="16" spans="1:156" ht="14.25" customHeight="1">
      <c r="A16" s="20" t="s">
        <v>901</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515</v>
      </c>
      <c r="BZ16" s="156"/>
      <c r="CA16" s="156"/>
      <c r="CB16" s="156"/>
      <c r="CC16" s="156"/>
      <c r="CD16" s="156"/>
      <c r="CE16" s="156"/>
      <c r="CF16" s="156"/>
      <c r="CG16" s="156"/>
      <c r="CH16" s="156"/>
      <c r="CI16" s="156" t="s">
        <v>482</v>
      </c>
      <c r="CJ16" s="156" t="s">
        <v>397</v>
      </c>
      <c r="CK16" s="154" t="s">
        <v>462</v>
      </c>
      <c r="CL16" s="154" t="s">
        <v>463</v>
      </c>
      <c r="CM16" s="154" t="s">
        <v>464</v>
      </c>
      <c r="CN16" s="288" t="s">
        <v>332</v>
      </c>
      <c r="CO16" s="156">
        <v>2880</v>
      </c>
      <c r="CP16" s="213" t="s">
        <v>308</v>
      </c>
      <c r="CQ16" s="213" t="s">
        <v>509</v>
      </c>
      <c r="CR16" s="213"/>
      <c r="CS16" s="154" t="s">
        <v>389</v>
      </c>
      <c r="CT16" s="155"/>
      <c r="CU16" s="155"/>
      <c r="CV16" s="155" t="s">
        <v>374</v>
      </c>
      <c r="CW16" s="155" t="s">
        <v>337</v>
      </c>
      <c r="CX16" s="155" t="s">
        <v>159</v>
      </c>
      <c r="CY16" s="155"/>
      <c r="CZ16" s="155"/>
      <c r="DA16" s="155"/>
      <c r="DB16" s="146" t="s">
        <v>764</v>
      </c>
      <c r="DC16" s="146" t="s">
        <v>765</v>
      </c>
      <c r="DD16" s="155"/>
      <c r="DE16" s="155" t="s">
        <v>511</v>
      </c>
      <c r="DF16" s="155" t="s">
        <v>410</v>
      </c>
      <c r="DG16" s="155"/>
      <c r="DH16" s="154" t="s">
        <v>427</v>
      </c>
      <c r="DI16" s="154" t="s">
        <v>428</v>
      </c>
      <c r="DJ16" s="154" t="s">
        <v>429</v>
      </c>
      <c r="DK16" s="154"/>
      <c r="DL16" s="154"/>
      <c r="DM16" s="154"/>
      <c r="DN16" s="154"/>
      <c r="DO16" s="154"/>
      <c r="DP16" s="154"/>
      <c r="DQ16" s="154"/>
      <c r="DR16" s="154"/>
      <c r="DS16" s="154"/>
      <c r="DT16" s="154"/>
      <c r="DU16" s="154" t="s">
        <v>596</v>
      </c>
      <c r="DV16" s="154"/>
      <c r="DW16" s="154"/>
      <c r="DX16" s="154"/>
      <c r="DY16" s="154"/>
      <c r="DZ16" s="154"/>
      <c r="EA16" s="154"/>
      <c r="EB16" s="154"/>
      <c r="EC16" s="154"/>
      <c r="ED16" s="154"/>
      <c r="EE16" s="154"/>
      <c r="EF16" s="154"/>
      <c r="EG16" s="154"/>
      <c r="EH16" s="154"/>
      <c r="EI16" s="154" t="s">
        <v>605</v>
      </c>
      <c r="EJ16" s="154"/>
      <c r="EK16" s="154"/>
      <c r="EL16" s="154"/>
      <c r="EM16" s="154"/>
      <c r="EN16" s="154"/>
      <c r="EO16" s="987" t="s">
        <v>766</v>
      </c>
      <c r="EP16" s="987" t="s">
        <v>770</v>
      </c>
      <c r="EQ16" s="987" t="s">
        <v>775</v>
      </c>
      <c r="ER16" s="1001">
        <v>1000</v>
      </c>
      <c r="ES16" s="997"/>
      <c r="ET16" s="1141"/>
      <c r="EU16" s="1141"/>
      <c r="EV16" s="155" t="s">
        <v>814</v>
      </c>
      <c r="EW16" s="154"/>
      <c r="EX16" s="154"/>
      <c r="EY16" s="154"/>
      <c r="EZ16" s="154"/>
    </row>
    <row r="17" spans="1:156" ht="14.25" customHeight="1">
      <c r="A17" s="20" t="s">
        <v>902</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516</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716</v>
      </c>
      <c r="BZ17" s="173" t="s">
        <v>726</v>
      </c>
      <c r="CA17" s="153"/>
      <c r="CB17" s="153"/>
      <c r="CC17" s="153"/>
      <c r="CD17" s="153"/>
      <c r="CE17" s="153"/>
      <c r="CF17" s="153"/>
      <c r="CG17" s="153"/>
      <c r="CH17" s="153"/>
      <c r="CI17" s="153" t="s">
        <v>499</v>
      </c>
      <c r="CJ17" s="153" t="s">
        <v>299</v>
      </c>
      <c r="CK17" s="153" t="s">
        <v>465</v>
      </c>
      <c r="CL17" s="153" t="s">
        <v>466</v>
      </c>
      <c r="CM17" s="153" t="s">
        <v>466</v>
      </c>
      <c r="CN17" s="153">
        <v>1175</v>
      </c>
      <c r="CO17" s="153">
        <v>1800</v>
      </c>
      <c r="CP17" s="288" t="s">
        <v>417</v>
      </c>
      <c r="CQ17" s="153" t="s">
        <v>725</v>
      </c>
      <c r="CR17" s="153"/>
      <c r="CS17" s="153" t="s">
        <v>609</v>
      </c>
      <c r="CT17" s="155"/>
      <c r="CU17" s="155"/>
      <c r="CV17" s="155" t="s">
        <v>314</v>
      </c>
      <c r="CW17" s="155" t="s">
        <v>338</v>
      </c>
      <c r="CX17" s="155" t="s">
        <v>341</v>
      </c>
      <c r="CY17" s="155"/>
      <c r="CZ17" s="155"/>
      <c r="DA17" s="155"/>
      <c r="DB17" s="319" t="s">
        <v>758</v>
      </c>
      <c r="DC17" s="325"/>
      <c r="DD17" s="155"/>
      <c r="DE17" s="326" t="s">
        <v>510</v>
      </c>
      <c r="DF17" s="326" t="s">
        <v>145</v>
      </c>
      <c r="DG17" s="155"/>
      <c r="DH17" s="153" t="s">
        <v>435</v>
      </c>
      <c r="DI17" s="153" t="s">
        <v>433</v>
      </c>
      <c r="DJ17" s="153" t="s">
        <v>434</v>
      </c>
      <c r="DK17" s="153"/>
      <c r="DL17" s="153"/>
      <c r="DM17" s="154"/>
      <c r="DN17" s="154"/>
      <c r="DO17" s="154"/>
      <c r="DP17" s="154"/>
      <c r="DQ17" s="154"/>
      <c r="DR17" s="154"/>
      <c r="DS17" s="154"/>
      <c r="DT17" s="154"/>
      <c r="DU17" s="154" t="s">
        <v>597</v>
      </c>
      <c r="DV17" s="154"/>
      <c r="DW17" s="154"/>
      <c r="DX17" s="154"/>
      <c r="DY17" s="154"/>
      <c r="DZ17" s="154"/>
      <c r="EA17" s="154"/>
      <c r="EB17" s="154" t="s">
        <v>603</v>
      </c>
      <c r="EC17" s="154" t="s">
        <v>606</v>
      </c>
      <c r="ED17" s="154"/>
      <c r="EE17" s="154">
        <v>1200</v>
      </c>
      <c r="EF17" s="154">
        <v>600</v>
      </c>
      <c r="EG17" s="154"/>
      <c r="EH17" s="154"/>
      <c r="EI17" s="154" t="s">
        <v>608</v>
      </c>
      <c r="EJ17" s="154"/>
      <c r="EK17" s="154"/>
      <c r="EL17" s="154"/>
      <c r="EM17" s="154"/>
      <c r="EN17" s="154"/>
      <c r="EO17" s="319" t="s">
        <v>758</v>
      </c>
      <c r="EP17" s="319" t="s">
        <v>146</v>
      </c>
      <c r="EQ17" s="319" t="s">
        <v>771</v>
      </c>
      <c r="ER17" s="1000">
        <v>1600</v>
      </c>
      <c r="ES17" s="338"/>
      <c r="ET17" s="1141"/>
      <c r="EU17" s="1141"/>
      <c r="EV17" s="155" t="s">
        <v>817</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tP5KqakoG9+RNe+AR6VvYYLLPN5vATOt8fO5LsVpvnZkov0m67zXklEqiykPj4tpvECuMlSj3LGrxAgyYSL6A==" saltValue="64mNrZU3dZYf9C3nCc31a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LEON  Resumenes por Partidos Judiciales  PONFERRADA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547</v>
      </c>
      <c r="F5" s="1523" t="s">
        <v>406</v>
      </c>
      <c r="G5" s="1494" t="s">
        <v>128</v>
      </c>
      <c r="H5" s="1494" t="s">
        <v>577</v>
      </c>
      <c r="I5" s="1494" t="s">
        <v>548</v>
      </c>
      <c r="J5" s="1494" t="s">
        <v>651</v>
      </c>
      <c r="K5" s="1494" t="s">
        <v>652</v>
      </c>
      <c r="L5" s="1494" t="s">
        <v>549</v>
      </c>
      <c r="M5" s="1494" t="s">
        <v>517</v>
      </c>
      <c r="N5" s="1494" t="s">
        <v>653</v>
      </c>
      <c r="O5" s="1526" t="s">
        <v>575</v>
      </c>
      <c r="P5" s="1494" t="s">
        <v>671</v>
      </c>
      <c r="Q5" s="1494" t="s">
        <v>666</v>
      </c>
      <c r="R5" s="1494" t="s">
        <v>168</v>
      </c>
      <c r="S5" s="1529" t="s">
        <v>663</v>
      </c>
      <c r="T5" s="1529" t="s">
        <v>665</v>
      </c>
      <c r="U5" s="1494" t="s">
        <v>578</v>
      </c>
      <c r="V5" s="1529" t="s">
        <v>550</v>
      </c>
      <c r="W5" s="1494" t="s">
        <v>754</v>
      </c>
      <c r="X5" s="1494" t="s">
        <v>755</v>
      </c>
      <c r="Y5" s="1497" t="s">
        <v>654</v>
      </c>
      <c r="Z5" s="1512" t="s">
        <v>600</v>
      </c>
      <c r="AA5" s="1515" t="s">
        <v>551</v>
      </c>
      <c r="AB5" s="1512" t="s">
        <v>552</v>
      </c>
      <c r="AC5" s="1512" t="s">
        <v>553</v>
      </c>
      <c r="AD5" s="1491" t="s">
        <v>655</v>
      </c>
      <c r="AE5" s="1491" t="s">
        <v>782</v>
      </c>
      <c r="AF5" s="1494" t="s">
        <v>667</v>
      </c>
      <c r="AG5" s="1494" t="s">
        <v>518</v>
      </c>
      <c r="AH5" s="1494" t="s">
        <v>656</v>
      </c>
      <c r="AI5" s="1494" t="s">
        <v>179</v>
      </c>
      <c r="AJ5" s="1494" t="s">
        <v>721</v>
      </c>
      <c r="AK5" s="1494" t="s">
        <v>519</v>
      </c>
      <c r="AL5" s="1494" t="s">
        <v>520</v>
      </c>
      <c r="AM5" s="1494" t="s">
        <v>672</v>
      </c>
      <c r="AN5" s="1494" t="s">
        <v>521</v>
      </c>
      <c r="AO5" s="1494" t="s">
        <v>522</v>
      </c>
      <c r="AP5" s="1494" t="s">
        <v>523</v>
      </c>
      <c r="AQ5" s="1494" t="s">
        <v>524</v>
      </c>
      <c r="AR5" s="1494" t="s">
        <v>657</v>
      </c>
      <c r="AS5" s="1494" t="s">
        <v>182</v>
      </c>
      <c r="AT5" s="1500" t="s">
        <v>180</v>
      </c>
      <c r="AU5" s="1494" t="s">
        <v>668</v>
      </c>
      <c r="AV5" s="1503" t="s">
        <v>669</v>
      </c>
      <c r="AW5" s="1506" t="s">
        <v>526</v>
      </c>
      <c r="AX5" s="1494" t="s">
        <v>527</v>
      </c>
      <c r="AY5" s="1494" t="s">
        <v>598</v>
      </c>
      <c r="AZ5" s="1509" t="s">
        <v>599</v>
      </c>
      <c r="BA5" s="1494" t="s">
        <v>555</v>
      </c>
      <c r="BB5" s="1503" t="s">
        <v>556</v>
      </c>
      <c r="BC5" s="1506" t="s">
        <v>183</v>
      </c>
      <c r="BD5" s="1494" t="s">
        <v>557</v>
      </c>
      <c r="BE5" s="1494" t="s">
        <v>247</v>
      </c>
      <c r="BF5" s="1494" t="s">
        <v>248</v>
      </c>
      <c r="BG5" s="1494" t="s">
        <v>249</v>
      </c>
      <c r="BH5" s="1494" t="s">
        <v>558</v>
      </c>
      <c r="BI5" s="1494" t="s">
        <v>250</v>
      </c>
      <c r="BJ5" s="1494" t="s">
        <v>559</v>
      </c>
      <c r="BK5" s="1494" t="s">
        <v>573</v>
      </c>
      <c r="BL5" s="1494" t="s">
        <v>560</v>
      </c>
      <c r="BM5" s="1494" t="s">
        <v>561</v>
      </c>
      <c r="BN5" s="1494" t="s">
        <v>586</v>
      </c>
      <c r="BO5" s="1494" t="s">
        <v>579</v>
      </c>
      <c r="BP5" s="1494" t="s">
        <v>820</v>
      </c>
      <c r="BQ5" s="1494" t="s">
        <v>823</v>
      </c>
      <c r="BR5" s="1494" t="s">
        <v>825</v>
      </c>
      <c r="BS5" s="1494" t="s">
        <v>580</v>
      </c>
      <c r="BT5" s="1494" t="s">
        <v>562</v>
      </c>
      <c r="BU5" s="1494" t="s">
        <v>525</v>
      </c>
      <c r="BV5" s="1518" t="s">
        <v>756</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585</v>
      </c>
      <c r="O9" s="333"/>
      <c r="P9" s="333"/>
      <c r="Q9" s="225">
        <f>IF(ISNUMBER(Datos!P9),Datos!P9,0)</f>
        <v>2677</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906</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123</v>
      </c>
      <c r="AI9" s="333" t="str">
        <f>IF(ISNUMBER(Datos!CD9),Datos!CD9,"-")</f>
        <v>-</v>
      </c>
      <c r="AJ9" s="333" t="str">
        <f>IF(ISNUMBER(Datos!EN9),Datos!EN9," - ")</f>
        <v xml:space="preserve"> - </v>
      </c>
      <c r="AK9" s="333"/>
      <c r="AL9" s="478"/>
      <c r="AM9" s="334">
        <f>IF(ISNUMBER(Datos!R9),Datos!R9," - ")</f>
        <v>7105</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3226</v>
      </c>
      <c r="BD9" s="228">
        <f>IF(ISNUMBER(Datos!N9),Datos!N9," - ")</f>
        <v>2672</v>
      </c>
      <c r="BE9" s="228" t="str">
        <f>IF(ISNUMBER(Datos!BW9),Datos!BW9," - ")</f>
        <v xml:space="preserve"> - </v>
      </c>
      <c r="BF9" s="227" t="str">
        <f>IF(ISNUMBER(Datos!BX9),Datos!BX9," - ")</f>
        <v xml:space="preserve"> - </v>
      </c>
      <c r="BG9" s="242">
        <f>IF(ISNUMBER(IF(J_V="SI",Datos!K9/Datos!J9,(Datos!K9+Datos!AA9)/(Datos!J9+Datos!Z9))),IF(J_V="SI",Datos!K9/Datos!J9,(Datos!K9+Datos!AA9)/(Datos!J9+Datos!Z9))," - ")</f>
        <v>1.1483555767397522</v>
      </c>
      <c r="BH9" s="259">
        <f>IF(ISNUMBER(((IF(J_V="SI",Datos!L9/Datos!K9,(Datos!L9+Datos!AB9)/(Datos!K9+Datos!AA9)))*11)/factor_trimestre),((IF(J_V="SI",Datos!L9/Datos!K9,(Datos!L9+Datos!AB9)/(Datos!K9+Datos!AA9)))*11)/factor_trimestre," - ")</f>
        <v>3.0453460620525057</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0.33202099737532809</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21</v>
      </c>
      <c r="G10" s="332">
        <f>IF(ISNUMBER(Datos!I10),Datos!I10," - ")</f>
        <v>20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46</v>
      </c>
      <c r="AC10" s="225">
        <f>IF(ISNUMBER(Datos!Q10),Datos!Q10," - ")</f>
        <v>4</v>
      </c>
      <c r="AD10" s="333"/>
      <c r="AE10" s="483"/>
      <c r="AF10" s="331">
        <f>IF(ISNUMBER(Datos!L10),Datos!L10,"-")</f>
        <v>48</v>
      </c>
      <c r="AG10" s="333"/>
      <c r="AH10" s="333"/>
      <c r="AI10" s="333"/>
      <c r="AJ10" s="333"/>
      <c r="AK10" s="333"/>
      <c r="AL10" s="478"/>
      <c r="AM10" s="334">
        <f>IF(ISNUMBER(Datos!R10),Datos!R10," - ")</f>
        <v>30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14</v>
      </c>
      <c r="BD10" s="228">
        <f>IF(ISNUMBER(Datos!N10),Datos!N10," - ")</f>
        <v>11</v>
      </c>
      <c r="BE10" s="228" t="str">
        <f>IF(ISNUMBER(Datos!BW10),Datos!BW10," - ")</f>
        <v xml:space="preserve"> - </v>
      </c>
      <c r="BF10" s="227" t="str">
        <f>IF(ISNUMBER(Datos!BX10),Datos!BX10," - ")</f>
        <v xml:space="preserve"> - </v>
      </c>
      <c r="BG10" s="242">
        <f>IF(ISNUMBER(Datos!K10/Datos!J10),Datos!K10/Datos!J10," - ")</f>
        <v>0.63013698630136983</v>
      </c>
      <c r="BH10" s="259">
        <f>IF(ISNUMBER(((Datos!L10/Datos!K10)*11)/factor_trimestre),((Datos!L10/Datos!K10)*11)/factor_trimestre," - ")</f>
        <v>11.478260869565217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0.66666666666666663</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v>
      </c>
      <c r="O12" s="333"/>
      <c r="P12" s="333"/>
      <c r="Q12" s="225">
        <f>IF(ISNUMBER(Datos!P12),Datos!P12,0)</f>
        <v>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0</v>
      </c>
      <c r="AI12" s="333" t="str">
        <f>IF(ISNUMBER(Datos!CD12),Datos!CD12,"-")</f>
        <v>-</v>
      </c>
      <c r="AJ12" s="333" t="str">
        <f>IF(ISNUMBER(Datos!EN12),Datos!EN12," - ")</f>
        <v xml:space="preserve"> - </v>
      </c>
      <c r="AK12" s="333"/>
      <c r="AL12" s="478"/>
      <c r="AM12" s="334">
        <f>IF(ISNUMBER(Datos!R12),Datos!R12," - ")</f>
        <v>1795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v>
      </c>
      <c r="BD12" s="228">
        <f>IF(ISNUMBER(Datos!N12),Datos!N12," - ")</f>
        <v>15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1.5</v>
      </c>
      <c r="BH12" s="259">
        <f>IF(ISNUMBER(((IF(J_V="SI",Datos!L12/Datos!K12,(Datos!L12+Datos!AB12)/(Datos!K12+Datos!AA12)))*11)/factor_trimestre),((IF(J_V="SI",Datos!L12/Datos!K12,(Datos!L12+Datos!AB12)/(Datos!K12+Datos!AA12)))*11)/factor_trimestre," - ")</f>
        <v>4.7948717948717947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-5.4765666140073721E-2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6</v>
      </c>
      <c r="F13" s="897">
        <f t="shared" si="0"/>
        <v>21</v>
      </c>
      <c r="G13" s="897">
        <f t="shared" si="0"/>
        <v>20</v>
      </c>
      <c r="H13" s="898">
        <f t="shared" si="0"/>
        <v>0</v>
      </c>
      <c r="I13" s="897">
        <f t="shared" si="0"/>
        <v>0</v>
      </c>
      <c r="J13" s="866">
        <f t="shared" si="0"/>
        <v>0</v>
      </c>
      <c r="K13" s="866">
        <f t="shared" si="0"/>
        <v>0</v>
      </c>
      <c r="L13" s="898">
        <f t="shared" si="0"/>
        <v>0</v>
      </c>
      <c r="M13" s="898">
        <f t="shared" si="0"/>
        <v>0</v>
      </c>
      <c r="N13" s="898">
        <f t="shared" si="0"/>
        <v>591</v>
      </c>
      <c r="O13" s="899">
        <f t="shared" si="0"/>
        <v>0</v>
      </c>
      <c r="P13" s="899">
        <f t="shared" si="0"/>
        <v>0</v>
      </c>
      <c r="Q13" s="898">
        <f t="shared" si="0"/>
        <v>2695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46</v>
      </c>
      <c r="AC13" s="898">
        <f t="shared" si="1"/>
        <v>1016</v>
      </c>
      <c r="AD13" s="898">
        <f t="shared" si="1"/>
        <v>0</v>
      </c>
      <c r="AE13" s="898">
        <f t="shared" si="1"/>
        <v>0</v>
      </c>
      <c r="AF13" s="898">
        <f t="shared" si="1"/>
        <v>48</v>
      </c>
      <c r="AG13" s="898">
        <f t="shared" si="1"/>
        <v>0</v>
      </c>
      <c r="AH13" s="898">
        <f t="shared" si="1"/>
        <v>123</v>
      </c>
      <c r="AI13" s="898">
        <f t="shared" si="1"/>
        <v>0</v>
      </c>
      <c r="AJ13" s="898">
        <f t="shared" si="1"/>
        <v>0</v>
      </c>
      <c r="AK13" s="898">
        <f t="shared" si="1"/>
        <v>0</v>
      </c>
      <c r="AL13" s="898">
        <f t="shared" si="1"/>
        <v>0</v>
      </c>
      <c r="AM13" s="898">
        <f t="shared" si="1"/>
        <v>8930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3247</v>
      </c>
      <c r="BD13" s="898">
        <f t="shared" si="1"/>
        <v>2698</v>
      </c>
      <c r="BE13" s="898">
        <f t="shared" si="1"/>
        <v>0</v>
      </c>
      <c r="BF13" s="898">
        <f t="shared" si="1"/>
        <v>0</v>
      </c>
      <c r="BG13" s="898">
        <f>IF(ISNUMBER(Datos!K13/Datos!J13),Datos!K13/Datos!J13," - ")</f>
        <v>1.1683544303797468</v>
      </c>
      <c r="BH13" s="902">
        <f>IF(ISNUMBER(((Datos!L13/Datos!K13)*11)/factor_trimestre),((Datos!L13/Datos!K13)*11)/factor_trimestre," - ")</f>
        <v>3.1105092091007585</v>
      </c>
      <c r="BI13" s="898">
        <f>IF(ISNUMBER('Resol  Asuntos'!D13/NºAsuntos!G13),'Resol  Asuntos'!D13/NºAsuntos!G13," - ")</f>
        <v>0.33398477679489819</v>
      </c>
      <c r="BJ13" s="898" t="str">
        <f>IF(ISNUMBER(Datos!CI13/Datos!CJ13),Datos!CI13/Datos!CJ13," - ")</f>
        <v xml:space="preserve"> - </v>
      </c>
      <c r="BK13" s="898">
        <f>SUBTOTAL(9,BK8:BK12)</f>
        <v>0</v>
      </c>
      <c r="BL13" s="898">
        <f>IF(ISNUMBER((I13-AB13+L13)/(F13)),(I13-AB13+L13)/(F13)," - ")</f>
        <v>-2.1904761904761907</v>
      </c>
      <c r="BM13" s="903">
        <f>SUBTOTAL(9,BM9:BM12)</f>
        <v>0.94392199790192099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1960</v>
      </c>
      <c r="G15" s="597">
        <f>IF(ISNUMBER(IF(D_I="SI",Datos!I15,Datos!I15+Datos!AC15)),IF(D_I="SI",Datos!I15,Datos!I15+Datos!AC15)," - ")</f>
        <v>2200</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272</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5838</v>
      </c>
      <c r="AC15" s="225">
        <f>IF(ISNUMBER(Datos!Q15),Datos!Q15," - ")</f>
        <v>203</v>
      </c>
      <c r="AD15" s="333"/>
      <c r="AE15" s="483"/>
      <c r="AF15" s="595">
        <f>IF(ISNUMBER(IF(D_I="SI",Datos!L15,Datos!L15+Datos!AF15)),IF(D_I="SI",Datos!L15,Datos!L15+Datos!AF15)," - ")</f>
        <v>1846</v>
      </c>
      <c r="AG15" s="333"/>
      <c r="AH15" s="333"/>
      <c r="AI15" s="333"/>
      <c r="AJ15" s="333"/>
      <c r="AK15" s="333"/>
      <c r="AL15" s="478"/>
      <c r="AM15" s="334">
        <f>IF(ISNUMBER(Datos!R15),Datos!R15," - ")</f>
        <v>317</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836</v>
      </c>
      <c r="BD15" s="228">
        <f>IF(ISNUMBER(Datos!N15),Datos!N15," - ")</f>
        <v>3530</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1.019916142557652</v>
      </c>
      <c r="BH15" s="259">
        <f>IF(ISNUMBER(((IF(D_I="SI",Datos!L15/Datos!K15,(Datos!L15+Datos!AF15)/(Datos!K15+Datos!AE15)))*11)/factor_trimestre),((IF(D_I="SI",Datos!L15/Datos!K15,(Datos!L15+Datos!AF15)/(Datos!K15+Datos!AE15)))*11)/factor_trimestre," - ")</f>
        <v>3.4782459746488521</v>
      </c>
      <c r="BI15" s="242">
        <f>IF(ISNUMBER('Resol  Asuntos'!D15/NºAsuntos!G15),'Resol  Asuntos'!D15/NºAsuntos!G15," - ")</f>
        <v>0.14319972593353889</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f>IF(ISNUMBER(AF16+AB16-Datos!J16-L16),AF16+AB16-Datos!J16-L16," - ")</f>
        <v>157</v>
      </c>
      <c r="G16" s="597">
        <f>IF(ISNUMBER(IF(D_I="SI",Datos!I16,Datos!I16+Datos!AC16)),IF(D_I="SI",Datos!I16,Datos!I16+Datos!AC16)," - ")</f>
        <v>152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99</v>
      </c>
      <c r="AC16" s="225">
        <f>IF(ISNUMBER(Datos!Q16),Datos!Q16," - ")</f>
        <v>0</v>
      </c>
      <c r="AD16" s="333"/>
      <c r="AE16" s="483"/>
      <c r="AF16" s="595">
        <f>IF(ISNUMBER(IF(D_I="SI",Datos!L16,Datos!L16+Datos!AF16)),IF(D_I="SI",Datos!L16,Datos!L16+Datos!AF16)," - ")</f>
        <v>77</v>
      </c>
      <c r="AG16" s="333"/>
      <c r="AH16" s="333"/>
      <c r="AI16" s="333"/>
      <c r="AJ16" s="333"/>
      <c r="AK16" s="333"/>
      <c r="AL16" s="478"/>
      <c r="AM16" s="334">
        <f>IF(ISNUMBER(Datos!R16),Datos!R16," - ")</f>
        <v>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v>
      </c>
      <c r="BD16" s="228">
        <f>IF(ISNUMBER(Datos!N16),Datos!N16," - ")</f>
        <v>29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5.2105263157894735</v>
      </c>
      <c r="BH16" s="259">
        <f>IF(ISNUMBER(((IF(D_I="SI",Datos!L16/Datos!K16,(Datos!L16+Datos!AF16)/(Datos!K16+Datos!AE16)))*11)/factor_trimestre),((IF(D_I="SI",Datos!L16/Datos!K16,(Datos!L16+Datos!AF16)/(Datos!K16+Datos!AE16)))*11)/factor_trimestre," - ")</f>
        <v>8.5555555555555554</v>
      </c>
      <c r="BI16" s="242">
        <f>IF(ISNUMBER('Resol  Asuntos'!D16/NºAsuntos!G16),'Resol  Asuntos'!D16/NºAsuntos!G16," - ")</f>
        <v>3.0303030303030304E-2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275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420</v>
      </c>
      <c r="AC17" s="225">
        <f>IF(ISNUMBER(Datos!Q17),Datos!Q17," - ")</f>
        <v>3</v>
      </c>
      <c r="AD17" s="333"/>
      <c r="AE17" s="483"/>
      <c r="AF17" s="331">
        <f>IF(ISNUMBER(Datos!L17),Datos!L17,"-")</f>
        <v>317</v>
      </c>
      <c r="AG17" s="333"/>
      <c r="AH17" s="333"/>
      <c r="AI17" s="333"/>
      <c r="AJ17" s="333"/>
      <c r="AK17" s="333"/>
      <c r="AL17" s="478"/>
      <c r="AM17" s="334">
        <f>IF(ISNUMBER(Datos!R17),Datos!R17," - ")</f>
        <v>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56</v>
      </c>
      <c r="BD17" s="228">
        <f>IF(ISNUMBER(Datos!N17),Datos!N17," - ")</f>
        <v>255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0.75268817204301075</v>
      </c>
      <c r="BH17" s="259">
        <f>IF(ISNUMBER(((IF(D_I="SI",Datos!L17/Datos!K17,(Datos!L17+Datos!AF17)/(Datos!K17+Datos!AE17)))*11)/factor_trimestre),((IF(D_I="SI",Datos!L17/Datos!K17,(Datos!L17+Datos!AF17)/(Datos!K17+Datos!AE17)))*11)/factor_trimestre," - ")</f>
        <v>8.3023809523809522</v>
      </c>
      <c r="BI17" s="242">
        <f>IF(ISNUMBER('Resol  Asuntos'!D17/NºAsuntos!G17),'Resol  Asuntos'!D17/NºAsuntos!G17," - ")</f>
        <v>0.13333333333333333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2117</v>
      </c>
      <c r="G18" s="897">
        <f>SUBTOTAL(9,G15:G17)</f>
        <v>2627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275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6357</v>
      </c>
      <c r="AC18" s="898">
        <f t="shared" si="4"/>
        <v>206</v>
      </c>
      <c r="AD18" s="898">
        <f t="shared" si="4"/>
        <v>0</v>
      </c>
      <c r="AE18" s="898">
        <f t="shared" si="4"/>
        <v>0</v>
      </c>
      <c r="AF18" s="898">
        <f t="shared" si="4"/>
        <v>2240</v>
      </c>
      <c r="AG18" s="898">
        <f t="shared" si="4"/>
        <v>0</v>
      </c>
      <c r="AH18" s="898">
        <f t="shared" si="4"/>
        <v>0</v>
      </c>
      <c r="AI18" s="898">
        <f t="shared" si="4"/>
        <v>0</v>
      </c>
      <c r="AJ18" s="898">
        <f t="shared" si="4"/>
        <v>0</v>
      </c>
      <c r="AK18" s="898">
        <f t="shared" si="4"/>
        <v>0</v>
      </c>
      <c r="AL18" s="898">
        <f t="shared" si="4"/>
        <v>0</v>
      </c>
      <c r="AM18" s="898">
        <f t="shared" si="4"/>
        <v>322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895</v>
      </c>
      <c r="BD18" s="898">
        <f t="shared" si="4"/>
        <v>3814</v>
      </c>
      <c r="BE18" s="898">
        <f t="shared" si="4"/>
        <v>0</v>
      </c>
      <c r="BF18" s="898">
        <f t="shared" si="4"/>
        <v>0</v>
      </c>
      <c r="BG18" s="898">
        <f>IF(ISNUMBER(Datos!K18/Datos!J18),Datos!K18/Datos!J18," - ")</f>
        <v>1.008887478178067</v>
      </c>
      <c r="BH18" s="902">
        <f>IF(ISNUMBER(((Datos!L18/Datos!K18)*11)/factor_trimestre),((Datos!L18/Datos!K18)*11)/factor_trimestre," - ")</f>
        <v>3.8760421582507467</v>
      </c>
      <c r="BI18" s="898">
        <f>SUBTOTAL(9,BI15:BI17)</f>
        <v>0.30683608956990249</v>
      </c>
      <c r="BJ18" s="898">
        <f>SUBTOTAL(9,BJ15:BJ17)</f>
        <v>0</v>
      </c>
      <c r="BK18" s="898">
        <f>SUBTOTAL(9,BK15:BK17)</f>
        <v>0</v>
      </c>
      <c r="BL18" s="898">
        <f>IF(ISNUMBER((I18-AB18+L18)/(F18)),(I18-AB18+L18)/(F18)," - ")</f>
        <v>-3.0028341993386869</v>
      </c>
      <c r="BM18" s="904">
        <f>IF(ISNUMBER((Datos!P18-Datos!Q18)/(Datos!R18-Datos!P18+Datos!Q18)),(Datos!P18-Datos!Q18)/(Datos!R18-Datos!P18+Datos!Q18)," - ")</f>
        <v>0.27272727272727271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9</v>
      </c>
      <c r="F19" s="819">
        <f t="shared" si="6"/>
        <v>2138</v>
      </c>
      <c r="G19" s="819">
        <f t="shared" si="6"/>
        <v>2647</v>
      </c>
      <c r="H19" s="821">
        <f t="shared" si="6"/>
        <v>0</v>
      </c>
      <c r="I19" s="819">
        <f t="shared" si="6"/>
        <v>0</v>
      </c>
      <c r="J19" s="821">
        <f t="shared" si="6"/>
        <v>0</v>
      </c>
      <c r="K19" s="821">
        <f t="shared" si="6"/>
        <v>0</v>
      </c>
      <c r="L19" s="880">
        <f t="shared" si="6"/>
        <v>0</v>
      </c>
      <c r="M19" s="880">
        <f t="shared" si="6"/>
        <v>0</v>
      </c>
      <c r="N19" s="880">
        <f t="shared" si="6"/>
        <v>591</v>
      </c>
      <c r="O19" s="880">
        <f t="shared" si="6"/>
        <v>0</v>
      </c>
      <c r="P19" s="880">
        <f t="shared" si="6"/>
        <v>0</v>
      </c>
      <c r="Q19" s="821">
        <f t="shared" si="6"/>
        <v>2970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6403</v>
      </c>
      <c r="AC19" s="820">
        <f t="shared" si="7"/>
        <v>1222</v>
      </c>
      <c r="AD19" s="820">
        <f t="shared" si="7"/>
        <v>0</v>
      </c>
      <c r="AE19" s="820">
        <f t="shared" si="7"/>
        <v>0</v>
      </c>
      <c r="AF19" s="827">
        <f t="shared" si="7"/>
        <v>2288</v>
      </c>
      <c r="AG19" s="827">
        <f t="shared" si="7"/>
        <v>0</v>
      </c>
      <c r="AH19" s="827">
        <f t="shared" si="7"/>
        <v>123</v>
      </c>
      <c r="AI19" s="827">
        <f t="shared" si="7"/>
        <v>0</v>
      </c>
      <c r="AJ19" s="820">
        <f t="shared" si="7"/>
        <v>0</v>
      </c>
      <c r="AK19" s="827">
        <f t="shared" si="7"/>
        <v>0</v>
      </c>
      <c r="AL19" s="827">
        <f t="shared" si="7"/>
        <v>0</v>
      </c>
      <c r="AM19" s="827">
        <f t="shared" si="7"/>
        <v>9252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4142</v>
      </c>
      <c r="BD19" s="819">
        <f t="shared" si="7"/>
        <v>6512</v>
      </c>
      <c r="BE19" s="819">
        <f t="shared" si="7"/>
        <v>0</v>
      </c>
      <c r="BF19" s="829">
        <f t="shared" si="7"/>
        <v>0</v>
      </c>
      <c r="BG19" s="914">
        <f>IF(ISNUMBER(Datos!K19/Datos!J19),Datos!K19/Datos!J19," - ")</f>
        <v>1.0975987606506583</v>
      </c>
      <c r="BH19" s="914">
        <f>IF(ISNUMBER(((Datos!L19/Datos!K19)*11)/factor_trimestre),((Datos!L19/Datos!K19)*11)/factor_trimestre," - ")</f>
        <v>3.4227240649258999</v>
      </c>
      <c r="BI19" s="812">
        <f>IF(ISNUMBER(Datos!J19/Datos!I19),Datos!J19/Datos!I19," - ")</f>
        <v>2.1224032282170078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-2.9948550046772686</v>
      </c>
      <c r="BM19" s="888">
        <f>IF(ISNUMBER((Datos!P19-Datos!Q19+R19)/(Datos!R19-Datos!P19+Datos!Q19-R19)),(Datos!P19-Datos!Q19+R19)/(Datos!R19-Datos!P19+Datos!Q19-R19)," - ")</f>
        <v>0.23294243070362472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882.33333333333337</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2.598076211353316</v>
      </c>
      <c r="F21" s="550">
        <f>IF(ISNUMBER(STDEV(F8:F18)),STDEV(F8:F18),"-")</f>
        <v>1083.0494910206089</v>
      </c>
      <c r="G21" s="551">
        <f>IF(ISNUMBER(STDEV(G8:G18)),STDEV(G8:G18),"-")</f>
        <v>1197.4627621210884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3077.3967353376238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1407.9018837567178</v>
      </c>
      <c r="BD21" s="550"/>
      <c r="BE21" s="550">
        <f>IF(ISNUMBER(STDEV(BE8:BE18)),STDEV(BE8:BE18),"-")</f>
        <v>0</v>
      </c>
      <c r="BF21" s="555">
        <f>IF(ISNUMBER(STDEV(BF8:BF18)),STDEV(BF8:BF18),"-")</f>
        <v>0</v>
      </c>
      <c r="BG21" s="774">
        <f>IF(ISNUMBER(STDEV(BG8:BG18)),STDEV(BG8:BG18),"-")</f>
        <v>1.500684674801058</v>
      </c>
      <c r="BH21" s="775">
        <f>IF(ISNUMBER(STDEV(BH8:BH18)),STDEV(BH8:BH18),"-")</f>
        <v>3.1851056875722974</v>
      </c>
      <c r="BI21" s="248">
        <f>IF(ISNUMBER(STDEV(BI8:BI18)),STDEV(BI8:BI18),"-")</f>
        <v>0.12775532151124508</v>
      </c>
      <c r="BJ21" s="229" t="str">
        <f>IF(ISNUMBER(BL21/BM21),BL21/BM21," - ")</f>
        <v xml:space="preserve"> - </v>
      </c>
      <c r="BK21" s="574"/>
      <c r="BL21" s="558">
        <f>IF(ISNUMBER(STDEV(BL8:BL18)),STDEV(BL8:BL18),"-")</f>
        <v>0.57442385681787289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AQKsVJIa1Fqo/bEzt+jpMbZKa1qVYK+4Y89UfpYDVsEe5SBkG6oN24SO8kDagCxwjuHY5zM//VepojC3CrkXCA==" saltValue="lYmp1f3W7RwEniDPMK+2s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LEON  Resumenes por Partidos Judiciales  PONFERRADA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547</v>
      </c>
      <c r="F5" s="1523" t="s">
        <v>406</v>
      </c>
      <c r="G5" s="1494" t="s">
        <v>128</v>
      </c>
      <c r="H5" s="1494" t="s">
        <v>577</v>
      </c>
      <c r="I5" s="1494" t="s">
        <v>548</v>
      </c>
      <c r="J5" s="1494" t="s">
        <v>670</v>
      </c>
      <c r="K5" s="1494" t="s">
        <v>549</v>
      </c>
      <c r="L5" s="1494" t="s">
        <v>575</v>
      </c>
      <c r="M5" s="1494" t="s">
        <v>671</v>
      </c>
      <c r="N5" s="1494" t="s">
        <v>574</v>
      </c>
      <c r="O5" s="1494" t="s">
        <v>601</v>
      </c>
      <c r="P5" s="1529" t="s">
        <v>663</v>
      </c>
      <c r="Q5" s="1529" t="s">
        <v>665</v>
      </c>
      <c r="R5" s="1494" t="s">
        <v>581</v>
      </c>
      <c r="S5" s="1494" t="s">
        <v>550</v>
      </c>
      <c r="T5" s="1494" t="s">
        <v>754</v>
      </c>
      <c r="U5" s="1494" t="s">
        <v>755</v>
      </c>
      <c r="V5" s="1497" t="s">
        <v>654</v>
      </c>
      <c r="W5" s="1512" t="s">
        <v>563</v>
      </c>
      <c r="X5" s="1515" t="s">
        <v>564</v>
      </c>
      <c r="Y5" s="1491" t="s">
        <v>582</v>
      </c>
      <c r="Z5" s="1491" t="s">
        <v>602</v>
      </c>
      <c r="AA5" s="1494" t="s">
        <v>554</v>
      </c>
      <c r="AB5" s="1494" t="s">
        <v>565</v>
      </c>
      <c r="AC5" s="1494" t="s">
        <v>566</v>
      </c>
      <c r="AD5" s="1494" t="s">
        <v>520</v>
      </c>
      <c r="AE5" s="1494" t="s">
        <v>672</v>
      </c>
      <c r="AF5" s="1494" t="s">
        <v>182</v>
      </c>
      <c r="AG5" s="1494" t="s">
        <v>567</v>
      </c>
      <c r="AH5" s="1494" t="s">
        <v>555</v>
      </c>
      <c r="AI5" s="1494" t="s">
        <v>556</v>
      </c>
      <c r="AJ5" s="1494" t="s">
        <v>568</v>
      </c>
      <c r="AK5" s="1494" t="s">
        <v>569</v>
      </c>
      <c r="AL5" s="1494" t="s">
        <v>570</v>
      </c>
      <c r="AM5" s="1509" t="s">
        <v>571</v>
      </c>
      <c r="AN5" s="1494" t="s">
        <v>249</v>
      </c>
      <c r="AO5" s="1494" t="s">
        <v>558</v>
      </c>
      <c r="AP5" s="1494" t="s">
        <v>559</v>
      </c>
      <c r="AQ5" s="1494" t="s">
        <v>583</v>
      </c>
      <c r="AR5" s="1494" t="s">
        <v>584</v>
      </c>
      <c r="AS5" s="1494" t="s">
        <v>586</v>
      </c>
      <c r="AT5" s="1494" t="s">
        <v>579</v>
      </c>
      <c r="AU5" s="1494" t="s">
        <v>820</v>
      </c>
      <c r="AV5" s="1494" t="s">
        <v>333</v>
      </c>
      <c r="AW5" s="1494" t="s">
        <v>572</v>
      </c>
      <c r="AX5" s="1494" t="s">
        <v>525</v>
      </c>
      <c r="BU5" s="1494" t="s">
        <v>756</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2677</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906</v>
      </c>
      <c r="AA9" s="331" t="str">
        <f>IF(ISNUMBER(IF(J_V="SI",Datos!L9,Datos!L9+Datos!AB9)-IF(Monitorios="SI",Datos!CD9,0)),
                          IF(J_V="SI",Datos!L9,Datos!L9+Datos!AB9)-IF(Monitorios="SI",Datos!CD9,0),
                          " - ")</f>
        <v xml:space="preserve"> - </v>
      </c>
      <c r="AB9" s="333"/>
      <c r="AC9" s="333"/>
      <c r="AD9" s="483"/>
      <c r="AE9" s="483">
        <f>IF(ISNUMBER(Datos!R9),Datos!R9," - ")</f>
        <v>7105</v>
      </c>
      <c r="AF9" s="228" t="str">
        <f>IF(ISNUMBER(Datos!BV9),Datos!BV9," - ")</f>
        <v xml:space="preserve"> - </v>
      </c>
      <c r="AG9" s="224" t="str">
        <f>IF(ISNUMBER(Datos!DV9),Datos!DV9," - ")</f>
        <v xml:space="preserve"> - </v>
      </c>
      <c r="AH9" s="297"/>
      <c r="AI9" s="226"/>
      <c r="AJ9" s="224">
        <f>IF(ISNUMBER(Datos!M9),Datos!M9," - ")</f>
        <v>3226</v>
      </c>
      <c r="AK9" s="228">
        <f>IF(ISNUMBER(Datos!N9),Datos!N9," - ")</f>
        <v>2672</v>
      </c>
      <c r="AL9" s="228" t="str">
        <f>IF(ISNUMBER(Datos!BW9),Datos!BW9," - ")</f>
        <v xml:space="preserve"> - </v>
      </c>
      <c r="AM9" s="227" t="str">
        <f>IF(ISNUMBER(Datos!BX9),Datos!BX9," - ")</f>
        <v xml:space="preserve"> - </v>
      </c>
      <c r="AN9" s="242"/>
      <c r="AO9" s="259">
        <f>IF(ISNUMBER(((NºAsuntos!I9/NºAsuntos!G9)*11)/factor_trimestre),((NºAsuntos!I9/NºAsuntos!G9)*11)/factor_trimestre," - ")</f>
        <v>3.0453460620525057</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0.33202099737532809</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21</v>
      </c>
      <c r="G10" s="224">
        <f>IF(ISNUMBER(Datos!I10),Datos!I10," - ")</f>
        <v>20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46</v>
      </c>
      <c r="Z10" s="618">
        <f>IF(ISNUMBER(Datos!Q10),Datos!Q10," - ")</f>
        <v>4</v>
      </c>
      <c r="AA10" s="331">
        <f>IF(ISNUMBER(Datos!L10),Datos!L10,"-")</f>
        <v>48</v>
      </c>
      <c r="AB10" s="333"/>
      <c r="AC10" s="333"/>
      <c r="AD10" s="483"/>
      <c r="AE10" s="483">
        <f>IF(ISNUMBER(Datos!R10),Datos!R10," - ")</f>
        <v>30</v>
      </c>
      <c r="AF10" s="228" t="str">
        <f>IF(ISNUMBER(Datos!BV10),Datos!BV10," - ")</f>
        <v xml:space="preserve"> - </v>
      </c>
      <c r="AG10" s="224" t="str">
        <f>IF(ISNUMBER(Datos!DV10),Datos!DV10," - ")</f>
        <v xml:space="preserve"> - </v>
      </c>
      <c r="AH10" s="297"/>
      <c r="AI10" s="226"/>
      <c r="AJ10" s="224">
        <f>IF(ISNUMBER(Datos!M10),Datos!M10," - ")</f>
        <v>14</v>
      </c>
      <c r="AK10" s="228">
        <f>IF(ISNUMBER(Datos!N10),Datos!N10," - ")</f>
        <v>11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11.478260869565217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0.66666666666666663</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106</v>
      </c>
      <c r="AA12" s="331" t="str">
        <f>IF(ISNUMBER(IF(J_V="SI",Datos!L12,Datos!L12+Datos!AB12)-IF(Monitorios="SI",Datos!CD12,0)),
                          IF(J_V="SI",Datos!L12,Datos!L12+Datos!AB12)-IF(Monitorios="SI",Datos!CD12,0),
                          " - ")</f>
        <v xml:space="preserve"> - </v>
      </c>
      <c r="AB12" s="333"/>
      <c r="AC12" s="333"/>
      <c r="AD12" s="483"/>
      <c r="AE12" s="483">
        <f>IF(ISNUMBER(Datos!R12),Datos!R12," - ")</f>
        <v>1795</v>
      </c>
      <c r="AF12" s="228" t="str">
        <f>IF(ISNUMBER(Datos!BV12),Datos!BV12," - ")</f>
        <v xml:space="preserve"> - </v>
      </c>
      <c r="AG12" s="224" t="str">
        <f>IF(ISNUMBER(Datos!DV12),Datos!DV12," - ")</f>
        <v xml:space="preserve"> - </v>
      </c>
      <c r="AH12" s="297"/>
      <c r="AI12" s="226"/>
      <c r="AJ12" s="224">
        <f>IF(ISNUMBER(Datos!M12),Datos!M12," - ")</f>
        <v>7</v>
      </c>
      <c r="AK12" s="228">
        <f>IF(ISNUMBER(Datos!N12),Datos!N12," - ")</f>
        <v>15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4.7948717948717947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-5.4765666140073721E-2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6</v>
      </c>
      <c r="F13" s="897">
        <f>SUBTOTAL(9,F8:F12)</f>
        <v>21</v>
      </c>
      <c r="G13" s="897">
        <f>SUBTOTAL(9,G8:G12)</f>
        <v>20</v>
      </c>
      <c r="H13" s="907"/>
      <c r="I13" s="897">
        <f t="shared" ref="I13:N13" si="0">SUBTOTAL(9,I8:I12)</f>
        <v>0</v>
      </c>
      <c r="J13" s="866">
        <f t="shared" si="0"/>
        <v>0</v>
      </c>
      <c r="K13" s="907">
        <f t="shared" si="0"/>
        <v>0</v>
      </c>
      <c r="L13" s="907">
        <f t="shared" si="0"/>
        <v>0</v>
      </c>
      <c r="M13" s="907">
        <f t="shared" si="0"/>
        <v>0</v>
      </c>
      <c r="N13" s="907">
        <f t="shared" si="0"/>
        <v>2695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46</v>
      </c>
      <c r="Z13" s="906">
        <f t="shared" si="2"/>
        <v>1016</v>
      </c>
      <c r="AA13" s="899">
        <f t="shared" si="2"/>
        <v>48</v>
      </c>
      <c r="AB13" s="899">
        <f t="shared" si="2"/>
        <v>0</v>
      </c>
      <c r="AC13" s="899">
        <f t="shared" si="2"/>
        <v>0</v>
      </c>
      <c r="AD13" s="899">
        <f t="shared" si="2"/>
        <v>0</v>
      </c>
      <c r="AE13" s="899">
        <f t="shared" si="2"/>
        <v>8930</v>
      </c>
      <c r="AF13" s="907">
        <f t="shared" si="2"/>
        <v>0</v>
      </c>
      <c r="AG13" s="907">
        <f t="shared" si="2"/>
        <v>0</v>
      </c>
      <c r="AH13" s="907">
        <f t="shared" si="2"/>
        <v>0</v>
      </c>
      <c r="AI13" s="907">
        <f t="shared" si="2"/>
        <v>0</v>
      </c>
      <c r="AJ13" s="907">
        <f t="shared" si="2"/>
        <v>3247</v>
      </c>
      <c r="AK13" s="907">
        <f t="shared" si="2"/>
        <v>2698</v>
      </c>
      <c r="AL13" s="907">
        <f t="shared" si="2"/>
        <v>0</v>
      </c>
      <c r="AM13" s="907">
        <f t="shared" si="2"/>
        <v>0</v>
      </c>
      <c r="AN13" s="907">
        <f t="shared" si="2"/>
        <v>0</v>
      </c>
      <c r="AO13" s="903">
        <f>IF(ISNUMBER(((NºAsuntos!I13/NºAsuntos!G13)*11)/factor_trimestre),((NºAsuntos!I13/NºAsuntos!G13)*11)/factor_trimestre," - ")</f>
        <v>3.0922649660563675</v>
      </c>
      <c r="AP13" s="909" t="str">
        <f>IF(ISNUMBER(Datos!CI13/Datos!CJ13),Datos!CI13/Datos!CJ13," - ")</f>
        <v xml:space="preserve"> - </v>
      </c>
      <c r="AQ13" s="927">
        <f t="shared" ref="AQ13:AV13" si="3">SUBTOTAL(9,AQ9:AQ12)</f>
        <v>0</v>
      </c>
      <c r="AR13" s="927">
        <f t="shared" si="3"/>
        <v>0.94392199790192099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1960</v>
      </c>
      <c r="G15" s="224">
        <f>IF(ISNUMBER(IF(D_I="SI",Datos!I15,Datos!I15+Datos!AC15)),IF(D_I="SI",Datos!I15,Datos!I15+Datos!AC15)," - ")</f>
        <v>2200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272</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5838</v>
      </c>
      <c r="Z15" s="618">
        <f>IF(ISNUMBER(Datos!Q15),Datos!Q15," - ")</f>
        <v>203</v>
      </c>
      <c r="AA15" s="331">
        <f>IF(ISNUMBER(IF(D_I="SI",Datos!L15,Datos!L15+Datos!AF15)),IF(D_I="SI",Datos!L15,Datos!L15+Datos!AF15)," - ")</f>
        <v>1846</v>
      </c>
      <c r="AB15" s="333"/>
      <c r="AC15" s="333"/>
      <c r="AD15" s="483"/>
      <c r="AE15" s="483">
        <f>IF(ISNUMBER(Datos!R15),Datos!R15," - ")</f>
        <v>317</v>
      </c>
      <c r="AF15" s="228" t="str">
        <f>IF(ISNUMBER(Datos!BV15),Datos!BV15," - ")</f>
        <v xml:space="preserve"> - </v>
      </c>
      <c r="AG15" s="224"/>
      <c r="AH15" s="297"/>
      <c r="AI15" s="226"/>
      <c r="AJ15" s="224">
        <f>IF(ISNUMBER(Datos!M15),Datos!M15," - ")</f>
        <v>836</v>
      </c>
      <c r="AK15" s="228">
        <f>IF(ISNUMBER(Datos!N15),Datos!N15," - ")</f>
        <v>3530</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3.4782459746488521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f>IF(ISNUMBER(AA16+Y16-Datos!J16-K15),AA16+Y16-Datos!J16-K15," - ")</f>
        <v>157</v>
      </c>
      <c r="G16" s="224">
        <f>IF(ISNUMBER(IF(D_I="SI",Datos!I16,Datos!I16+Datos!AC16)),IF(D_I="SI",Datos!I16,Datos!I16+Datos!AC16)," - ")</f>
        <v>152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99</v>
      </c>
      <c r="Z16" s="618">
        <f>IF(ISNUMBER(Datos!Q16),Datos!Q16," - ")</f>
        <v>0</v>
      </c>
      <c r="AA16" s="331">
        <f>IF(ISNUMBER(IF(D_I="SI",Datos!L16,Datos!L16+Datos!AF16)),IF(D_I="SI",Datos!L16,Datos!L16+Datos!AF16)," - ")</f>
        <v>77</v>
      </c>
      <c r="AB16" s="333"/>
      <c r="AC16" s="333"/>
      <c r="AD16" s="483"/>
      <c r="AE16" s="483">
        <f>IF(ISNUMBER(Datos!R16),Datos!R16," - ")</f>
        <v>0</v>
      </c>
      <c r="AF16" s="228" t="str">
        <f>IF(ISNUMBER(Datos!BV16),Datos!BV16," - ")</f>
        <v xml:space="preserve"> - </v>
      </c>
      <c r="AG16" s="224"/>
      <c r="AH16" s="297"/>
      <c r="AI16" s="226"/>
      <c r="AJ16" s="224">
        <f>IF(ISNUMBER(Datos!M16),Datos!M16," - ")</f>
        <v>3</v>
      </c>
      <c r="AK16" s="228">
        <f>IF(ISNUMBER(Datos!N16),Datos!N16," - ")</f>
        <v>29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8.5555555555555554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275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420</v>
      </c>
      <c r="Z17" s="618">
        <f>IF(ISNUMBER(Datos!Q17),Datos!Q17," - ")</f>
        <v>3</v>
      </c>
      <c r="AA17" s="331">
        <f>IF(ISNUMBER(Datos!L17),Datos!L17,"-")</f>
        <v>317</v>
      </c>
      <c r="AB17" s="333"/>
      <c r="AC17" s="333"/>
      <c r="AD17" s="483"/>
      <c r="AE17" s="483">
        <f>IF(ISNUMBER(Datos!R17),Datos!R17," - ")</f>
        <v>5</v>
      </c>
      <c r="AF17" s="228" t="str">
        <f>IF(ISNUMBER(Datos!BV17),Datos!BV17," - ")</f>
        <v xml:space="preserve"> - </v>
      </c>
      <c r="AG17" s="224" t="str">
        <f>IF(ISNUMBER(Datos!DV17),Datos!DV17," - ")</f>
        <v xml:space="preserve"> - </v>
      </c>
      <c r="AH17" s="297"/>
      <c r="AI17" s="226"/>
      <c r="AJ17" s="224">
        <f>IF(ISNUMBER(Datos!M17),Datos!M17," - ")</f>
        <v>56</v>
      </c>
      <c r="AK17" s="228">
        <f>IF(ISNUMBER(Datos!N17),Datos!N17," - ")</f>
        <v>255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8.3023809523809522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2117</v>
      </c>
      <c r="G18" s="897">
        <f>SUBTOTAL(9,G15:G17)</f>
        <v>2627</v>
      </c>
      <c r="H18" s="931">
        <f>SUBTOTAL(9,H15:H17)</f>
        <v>0</v>
      </c>
      <c r="I18" s="910">
        <f>SUBTOTAL(9,I15:I17)</f>
        <v>0</v>
      </c>
      <c r="J18" s="866">
        <f>SUBTOTAL(9,J14:J17)</f>
        <v>0</v>
      </c>
      <c r="K18" s="931">
        <f t="shared" ref="K18:S18" si="4">SUBTOTAL(9,K15:K17)</f>
        <v>0</v>
      </c>
      <c r="L18" s="931">
        <f t="shared" si="4"/>
        <v>0</v>
      </c>
      <c r="M18" s="931">
        <f t="shared" si="4"/>
        <v>0</v>
      </c>
      <c r="N18" s="931">
        <f t="shared" si="4"/>
        <v>275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6357</v>
      </c>
      <c r="Z18" s="931">
        <f t="shared" si="5"/>
        <v>206</v>
      </c>
      <c r="AA18" s="931">
        <f t="shared" si="5"/>
        <v>2240</v>
      </c>
      <c r="AB18" s="931">
        <f t="shared" si="5"/>
        <v>0</v>
      </c>
      <c r="AC18" s="931">
        <f t="shared" si="5"/>
        <v>0</v>
      </c>
      <c r="AD18" s="931">
        <f t="shared" si="5"/>
        <v>0</v>
      </c>
      <c r="AE18" s="931">
        <f t="shared" si="5"/>
        <v>322</v>
      </c>
      <c r="AF18" s="931">
        <f t="shared" si="5"/>
        <v>0</v>
      </c>
      <c r="AG18" s="931">
        <f t="shared" si="5"/>
        <v>0</v>
      </c>
      <c r="AH18" s="931">
        <f t="shared" si="5"/>
        <v>0</v>
      </c>
      <c r="AI18" s="931">
        <f t="shared" si="5"/>
        <v>0</v>
      </c>
      <c r="AJ18" s="931">
        <f t="shared" si="5"/>
        <v>895</v>
      </c>
      <c r="AK18" s="931">
        <f t="shared" si="5"/>
        <v>3814</v>
      </c>
      <c r="AL18" s="931">
        <f t="shared" si="5"/>
        <v>0</v>
      </c>
      <c r="AM18" s="931">
        <f t="shared" si="5"/>
        <v>0</v>
      </c>
      <c r="AN18" s="931">
        <f t="shared" si="5"/>
        <v>0</v>
      </c>
      <c r="AO18" s="933">
        <f>IF(ISNUMBER(((NºAsuntos!I18/NºAsuntos!G18)*11)/factor_trimestre),((NºAsuntos!I18/NºAsuntos!G18)*11)/factor_trimestre," - ")</f>
        <v>3.8760421582507467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9</v>
      </c>
      <c r="F19" s="819">
        <f t="shared" si="7"/>
        <v>2138</v>
      </c>
      <c r="G19" s="819">
        <f t="shared" si="7"/>
        <v>2647</v>
      </c>
      <c r="H19" s="820">
        <f t="shared" si="7"/>
        <v>0</v>
      </c>
      <c r="I19" s="819">
        <f t="shared" si="7"/>
        <v>0</v>
      </c>
      <c r="J19" s="821">
        <f t="shared" si="7"/>
        <v>0</v>
      </c>
      <c r="K19" s="819">
        <f t="shared" si="7"/>
        <v>0</v>
      </c>
      <c r="L19" s="822">
        <f t="shared" si="7"/>
        <v>0</v>
      </c>
      <c r="M19" s="819">
        <f t="shared" si="7"/>
        <v>0</v>
      </c>
      <c r="N19" s="820">
        <f t="shared" si="7"/>
        <v>2970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6403</v>
      </c>
      <c r="Z19" s="826">
        <f t="shared" si="8"/>
        <v>1222</v>
      </c>
      <c r="AA19" s="827">
        <f t="shared" si="8"/>
        <v>2288</v>
      </c>
      <c r="AB19" s="827">
        <f t="shared" si="8"/>
        <v>0</v>
      </c>
      <c r="AC19" s="827">
        <f t="shared" si="8"/>
        <v>0</v>
      </c>
      <c r="AD19" s="828">
        <f t="shared" si="8"/>
        <v>0</v>
      </c>
      <c r="AE19" s="828">
        <f t="shared" si="8"/>
        <v>9252</v>
      </c>
      <c r="AF19" s="829">
        <f t="shared" si="8"/>
        <v>0</v>
      </c>
      <c r="AG19" s="830">
        <f t="shared" si="8"/>
        <v>0</v>
      </c>
      <c r="AH19" s="831">
        <f t="shared" si="8"/>
        <v>0</v>
      </c>
      <c r="AI19" s="829">
        <f t="shared" si="8"/>
        <v>0</v>
      </c>
      <c r="AJ19" s="819">
        <f t="shared" si="8"/>
        <v>4142</v>
      </c>
      <c r="AK19" s="819">
        <f t="shared" si="8"/>
        <v>6512</v>
      </c>
      <c r="AL19" s="819">
        <f t="shared" si="8"/>
        <v>0</v>
      </c>
      <c r="AM19" s="832">
        <f t="shared" si="8"/>
        <v>0</v>
      </c>
      <c r="AN19" s="822">
        <f>IF(ISNUMBER(Datos!K19/Datos!J19),Datos!K19/Datos!J19," - ")</f>
        <v>1.0975987606506583</v>
      </c>
      <c r="AO19" s="822">
        <f>IF(ISNUMBER(FIND("06",Criterios!A8,1)),(IF(ISNUMBER(((Datos!R19/Datos!Q19)*11)/factor_trimestre),((Datos!R19/Datos!Q19)*11)/factor_trimestre," - ")),(IF(ISNUMBER(((Datos!L19/Datos!K19)*11)/factor_trimestre),((Datos!L19/Datos!K19)*11)/factor_trimestre," - ")))</f>
        <v>3.4227240649258999</v>
      </c>
      <c r="AP19" s="833" t="str">
        <f>IF(ISNUMBER(Datos!CI19/Datos!CJ19),Datos!CI19/Datos!CJ19," - ")</f>
        <v xml:space="preserve"> - </v>
      </c>
      <c r="AQ19" s="833">
        <f>IF(OR(ISNUMBER(FIND("01",Criterios!A8,1)),ISNUMBER(FIND("02",Criterios!A8,1)),ISNUMBER(FIND("03",Criterios!A8,1)),ISNUMBER(FIND("04",Criterios!A8,1))),(J19-Y19+K19)/(F19-K19),(I19-Y19+K19)/(F19-K19))</f>
        <v>-2.9948550046772686</v>
      </c>
      <c r="AR19" s="833">
        <f>IF(ISNUMBER((Datos!P19-Datos!Q19+O19)/(Datos!R19-Datos!P19+Datos!Q19-O19)),(Datos!P19-Datos!Q19+O19)/(Datos!R19-Datos!P19+Datos!Q19-O19)," - ")</f>
        <v>0.23294243070362472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882.33333333333337</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1083.0494910206089</v>
      </c>
      <c r="G21" s="551">
        <f>IF(ISNUMBER(STDEV(G8:G18)),STDEV(G8:G18),"-")</f>
        <v>1197.4627621210884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1407.9018837567178</v>
      </c>
      <c r="AK21" s="251"/>
      <c r="AL21" s="251">
        <f>IF(ISNUMBER(STDEV(AL8:AL18)),STDEV(AL8:AL18),"-")</f>
        <v>0</v>
      </c>
      <c r="AM21" s="253">
        <f>IF(ISNUMBER(STDEV(AM8:AM18)),STDEV(AM8:AM18),"-")</f>
        <v>0</v>
      </c>
      <c r="AN21" s="538">
        <f>IF(ISNUMBER(STDEV(AN8:AN18)),STDEV(AN8:AN18),"-")</f>
        <v>0</v>
      </c>
      <c r="AO21" s="539">
        <f>IF(ISNUMBER(STDEV(AO8:AO18)),STDEV(AO8:AO18),"-")</f>
        <v>3.1873368768437969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dY/chs7crQTqIJ/AgkxbO0TRlYi3Lm5Cw1aYXa53lmeyibuK9kQ5LkQms1gG32He7NnPqzL3NQs1/5LI5UDOgg==" saltValue="DosXMx9+BR9ITu4e75jxn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615</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616</v>
      </c>
      <c r="B4" s="1542" t="s">
        <v>720</v>
      </c>
      <c r="C4" s="1542" t="s">
        <v>617</v>
      </c>
      <c r="D4" s="1542" t="s">
        <v>678</v>
      </c>
      <c r="E4" s="1544" t="s">
        <v>679</v>
      </c>
      <c r="F4" s="1542" t="s">
        <v>618</v>
      </c>
      <c r="G4" s="1544" t="s">
        <v>452</v>
      </c>
      <c r="H4" s="1537" t="s">
        <v>619</v>
      </c>
      <c r="I4" s="1537" t="s">
        <v>620</v>
      </c>
      <c r="J4" s="1537" t="s">
        <v>621</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vaNQxbXPc4YaeA+Ye14sHCialAMxYnlftgMxcOj3kFC6dBB6WElLCC82Sd13QU8TRkNgGxDFulcfU7wtuor7Q==" saltValue="8xTXRCu19Gs7S4b8z89K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740</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50" t="s">
        <v>736</v>
      </c>
      <c r="ER8" s="50" t="s">
        <v>741</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qCtF5lyfNO2kFLCNgYFZSlTERyScejo3vD5Bfj57O6aNQOi6Z771gK8JUw+yA93X3NH3Ty+r9RAuGkqgoxD8A==" saltValue="CQNAlp//DY3GgIKDGNlUT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LEON  Resumenes por Partidos Judiciales  PONFERRADA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547</v>
      </c>
      <c r="F5" s="1523" t="s">
        <v>406</v>
      </c>
      <c r="G5" s="1494" t="s">
        <v>128</v>
      </c>
      <c r="H5" s="1494" t="s">
        <v>577</v>
      </c>
      <c r="I5" s="1494" t="s">
        <v>548</v>
      </c>
      <c r="J5" s="1494" t="s">
        <v>651</v>
      </c>
      <c r="K5" s="1494" t="s">
        <v>549</v>
      </c>
      <c r="L5" s="1494" t="s">
        <v>517</v>
      </c>
      <c r="M5" s="1526" t="s">
        <v>575</v>
      </c>
      <c r="N5" s="1494" t="s">
        <v>706</v>
      </c>
      <c r="O5" s="1494" t="s">
        <v>666</v>
      </c>
      <c r="P5" s="1494" t="s">
        <v>168</v>
      </c>
      <c r="Q5" s="1529" t="s">
        <v>663</v>
      </c>
      <c r="R5" s="1529" t="s">
        <v>707</v>
      </c>
      <c r="S5" s="1494" t="s">
        <v>578</v>
      </c>
      <c r="T5" s="1529" t="s">
        <v>550</v>
      </c>
      <c r="U5" s="1529" t="s">
        <v>754</v>
      </c>
      <c r="V5" s="1529" t="s">
        <v>755</v>
      </c>
      <c r="W5" s="1512" t="s">
        <v>600</v>
      </c>
      <c r="X5" s="1515" t="s">
        <v>551</v>
      </c>
      <c r="Y5" s="1512" t="s">
        <v>552</v>
      </c>
      <c r="Z5" s="1512" t="s">
        <v>553</v>
      </c>
      <c r="AA5" s="1494" t="s">
        <v>667</v>
      </c>
      <c r="AB5" s="1494" t="s">
        <v>672</v>
      </c>
      <c r="AC5" s="1494" t="s">
        <v>182</v>
      </c>
      <c r="AD5" s="1500" t="s">
        <v>180</v>
      </c>
      <c r="AE5" s="1494" t="s">
        <v>668</v>
      </c>
      <c r="AF5" s="1503" t="s">
        <v>669</v>
      </c>
      <c r="AG5" s="1506" t="s">
        <v>526</v>
      </c>
      <c r="AH5" s="1494" t="s">
        <v>527</v>
      </c>
      <c r="AI5" s="1494" t="s">
        <v>598</v>
      </c>
      <c r="AJ5" s="1509" t="s">
        <v>599</v>
      </c>
      <c r="AK5" s="1506" t="s">
        <v>183</v>
      </c>
      <c r="AL5" s="1494" t="s">
        <v>557</v>
      </c>
      <c r="AM5" s="1494" t="s">
        <v>247</v>
      </c>
      <c r="AN5" s="1494" t="s">
        <v>248</v>
      </c>
      <c r="AO5" s="1494" t="s">
        <v>249</v>
      </c>
      <c r="AP5" s="1494" t="s">
        <v>558</v>
      </c>
      <c r="AQ5" s="1494" t="s">
        <v>250</v>
      </c>
      <c r="AR5" s="1494" t="s">
        <v>559</v>
      </c>
      <c r="AS5" s="1494" t="s">
        <v>560</v>
      </c>
      <c r="AT5" s="1494" t="s">
        <v>561</v>
      </c>
      <c r="AU5" s="1494" t="s">
        <v>586</v>
      </c>
      <c r="AV5" s="1494" t="s">
        <v>579</v>
      </c>
      <c r="AW5" s="1494" t="s">
        <v>820</v>
      </c>
      <c r="AX5" s="1494" t="s">
        <v>823</v>
      </c>
      <c r="AY5" s="1494" t="s">
        <v>825</v>
      </c>
      <c r="AZ5" s="1494" t="s">
        <v>580</v>
      </c>
      <c r="BA5" s="1494" t="s">
        <v>841</v>
      </c>
      <c r="BB5" s="1494" t="s">
        <v>562</v>
      </c>
      <c r="BC5" s="1494" t="s">
        <v>525</v>
      </c>
      <c r="BW5" s="1494" t="s">
        <v>756</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0.33398477679489819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0.23616290048474797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9yEtdEeg/1GtkcSK/kWUAjYMt6skl/ThLdnIRg7J5WMXWcvTFQ9nZSwouhtZU6mLk95sp1M83O8HcP4bB19baw==" saltValue="WD59st/4TXu6BnJ8T9ETJ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XVGAySpjnm/6A7BzufE29oChKiK9N9P7npncZ4R1Xvf2iOHO4xUVj1jlpUBWmbtwASYAgpWiAhDqsIG2DuF5Vw==" saltValue="2A4HF1F2t+3IkAamvTb44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LEON</v>
      </c>
      <c r="D3" s="374"/>
      <c r="E3" s="374"/>
      <c r="F3" s="374"/>
      <c r="BQ3" s="470"/>
    </row>
    <row r="4" spans="1:69" ht="13.5" thickBot="1">
      <c r="A4" s="374"/>
      <c r="B4" s="390" t="str">
        <f>Criterios!A11 &amp;"  "&amp;Criterios!B11</f>
        <v>Resumenes por Partidos Judiciales  PONFERRADA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734</v>
      </c>
      <c r="L5" s="1190" t="s">
        <v>778</v>
      </c>
      <c r="M5" s="1190" t="s">
        <v>837</v>
      </c>
      <c r="N5" s="1193" t="s">
        <v>733</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728</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4036</v>
      </c>
      <c r="D9" s="403">
        <f>IF(ISNUMBER(C9/Datos!BH9),C9/Datos!BH9," - ")</f>
        <v>672.66666666666663</v>
      </c>
      <c r="E9" s="402">
        <f>IF(ISNUMBER(IF(J_V="SI",Datos!J9,Datos!J9+Datos!Z9)),IF(J_V="SI",Datos!J9,Datos!J9+Datos!Z9)," - ")</f>
        <v>8392</v>
      </c>
      <c r="F9" s="403">
        <f>IF(ISNUMBER(E9/B9),E9/B9," - ")</f>
        <v>1398.6666666666667</v>
      </c>
      <c r="G9" s="402">
        <f>IF(ISNUMBER(IF(J_V="SI",Datos!K9,Datos!K9+Datos!AA9)),IF(J_V="SI",Datos!K9,Datos!K9+Datos!AA9)," - ")</f>
        <v>9637</v>
      </c>
      <c r="H9" s="403">
        <f>IF(ISNUMBER(G9/B9),G9/B9," - ")</f>
        <v>1606.1666666666667</v>
      </c>
      <c r="I9" s="402">
        <f>IF(ISNUMBER(IF(J_V="SI",Datos!L9,Datos!L9+Datos!AB9)),IF(J_V="SI",Datos!L9,Datos!L9+Datos!AB9)," - ")</f>
        <v>2668</v>
      </c>
      <c r="J9" s="403">
        <f>IF(ISNUMBER(I9/B9),I9/B9," - ")</f>
        <v>444.66666666666669</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20</v>
      </c>
      <c r="D10" s="403">
        <f>IF(ISNUMBER(C10/Datos!BH10),C10/Datos!BH10," - ")</f>
        <v>20</v>
      </c>
      <c r="E10" s="402">
        <f>IF(ISNUMBER(Datos!J10),Datos!J10," - ")</f>
        <v>73</v>
      </c>
      <c r="F10" s="403">
        <f>IF(ISNUMBER(E10/B10),E10/B10," - ")</f>
        <v>73</v>
      </c>
      <c r="G10" s="402">
        <f>IF(ISNUMBER(Datos!K10),Datos!K10," - ")</f>
        <v>46</v>
      </c>
      <c r="H10" s="403">
        <f>IF(ISNUMBER(G10/B10),G10/B10," - ")</f>
        <v>46</v>
      </c>
      <c r="I10" s="402">
        <f>IF(ISNUMBER(Datos!L10),Datos!L10," - ")</f>
        <v>48</v>
      </c>
      <c r="J10" s="403">
        <f>IF(ISNUMBER(I10/B10),I10/B10," - ")</f>
        <v>48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f>IF(ISNUMBER(IF(J_V="SI",Datos!I12,Datos!I12+Datos!Y12)),IF(J_V="SI",Datos!I12,Datos!I12+Datos!Y12)," - ")</f>
        <v>32</v>
      </c>
      <c r="D12" s="403" t="str">
        <f>IF(ISNUMBER(C12/Datos!BH12),C12/Datos!BH12," - ")</f>
        <v xml:space="preserve"> - </v>
      </c>
      <c r="E12" s="402">
        <f>IF(ISNUMBER(IF(J_V="SI",Datos!J12,Datos!J12+Datos!Z12)),IF(J_V="SI",Datos!J12,Datos!J12+Datos!Z12)," - ")</f>
        <v>26</v>
      </c>
      <c r="F12" s="403" t="str">
        <f>IF(ISNUMBER(E12/B12),E12/B12," - ")</f>
        <v xml:space="preserve"> - </v>
      </c>
      <c r="G12" s="402">
        <f>IF(ISNUMBER(IF(J_V="SI",Datos!K12,Datos!K12+Datos!AA12)),IF(J_V="SI",Datos!K12,Datos!K12+Datos!AA12)," - ")</f>
        <v>39</v>
      </c>
      <c r="H12" s="403" t="str">
        <f>IF(ISNUMBER(G12/B12),G12/B12," - ")</f>
        <v xml:space="preserve"> - </v>
      </c>
      <c r="I12" s="402">
        <f>IF(ISNUMBER(IF(J_V="SI",Datos!L12,Datos!L12+Datos!AB12)),IF(J_V="SI",Datos!L12,Datos!L12+Datos!AB12)," - ")</f>
        <v>17</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4088</v>
      </c>
      <c r="D13" s="849" t="str">
        <f>IF(ISNUMBER(C13/Datos!BI13),C13/Datos!BI13," - ")</f>
        <v xml:space="preserve"> - </v>
      </c>
      <c r="E13" s="848">
        <f>SUBTOTAL(9,E8:E12)</f>
        <v>8491</v>
      </c>
      <c r="F13" s="849">
        <f>IF(ISNUMBER(E13/B13),E13/B13," - ")</f>
        <v>1415.1666666666667</v>
      </c>
      <c r="G13" s="848">
        <f>SUBTOTAL(9,G8:G12)</f>
        <v>9722</v>
      </c>
      <c r="H13" s="849">
        <f>IF(ISNUMBER(G13/B13),G13/B13," - ")</f>
        <v>1620.3333333333333</v>
      </c>
      <c r="I13" s="848">
        <f>SUBTOTAL(9,I8:I12)</f>
        <v>2733</v>
      </c>
      <c r="J13" s="849">
        <f>IF(ISNUMBER(I13/B13),I13/B13," - ")</f>
        <v>455.5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2200</v>
      </c>
      <c r="D15" s="403">
        <f>IF(ISNUMBER(C15/Datos!BH15),C15/Datos!BH15," - ")</f>
        <v>733.33333333333337</v>
      </c>
      <c r="E15" s="402">
        <f>IF(ISNUMBER(IF(D_I="SI",Datos!J15,Datos!J15+Datos!AD15)),IF(D_I="SI",Datos!J15,Datos!J15+Datos!AD15)," - ")</f>
        <v>5724</v>
      </c>
      <c r="F15" s="403">
        <f>IF(ISNUMBER(E15/B15),E15/B15," - ")</f>
        <v>1908</v>
      </c>
      <c r="G15" s="402">
        <f>IF(ISNUMBER(IF(D_I="SI",Datos!K15,Datos!K15+Datos!AE15)),IF(D_I="SI",Datos!K15,Datos!K15+Datos!AE15)," - ")</f>
        <v>5838</v>
      </c>
      <c r="H15" s="403">
        <f>IF(ISNUMBER(G15/B15),G15/B15," - ")</f>
        <v>1946</v>
      </c>
      <c r="I15" s="402">
        <f>IF(ISNUMBER(IF(D_I="SI",Datos!L15,Datos!L15+Datos!AF15)),IF(D_I="SI",Datos!L15,Datos!L15+Datos!AF15)," - ")</f>
        <v>1846</v>
      </c>
      <c r="J15" s="403">
        <f>IF(ISNUMBER(I15/B15),I15/B15," - ")</f>
        <v>615.33333333333337</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152</v>
      </c>
      <c r="D16" s="403" t="str">
        <f>IF(ISNUMBER(C16/Datos!BH16),C16/Datos!BH16," - ")</f>
        <v xml:space="preserve"> - </v>
      </c>
      <c r="E16" s="402">
        <f>IF(ISNUMBER(IF(D_I="SI",Datos!J16,Datos!J16+Datos!AD16)),IF(D_I="SI",Datos!J16,Datos!J16+Datos!AD16)," - ")</f>
        <v>19</v>
      </c>
      <c r="F16" s="403" t="str">
        <f>IF(ISNUMBER(E16/B16),E16/B16," - ")</f>
        <v xml:space="preserve"> - </v>
      </c>
      <c r="G16" s="402">
        <f>IF(ISNUMBER(IF(D_I="SI",Datos!K16,Datos!K16+Datos!AE16)),IF(D_I="SI",Datos!K16,Datos!K16+Datos!AE16)," - ")</f>
        <v>99</v>
      </c>
      <c r="H16" s="403" t="str">
        <f>IF(ISNUMBER(G16/B16),G16/B16," - ")</f>
        <v xml:space="preserve"> - </v>
      </c>
      <c r="I16" s="402">
        <f>IF(ISNUMBER(IF(D_I="SI",Datos!L16,Datos!L16+Datos!AF16)),IF(D_I="SI",Datos!L16,Datos!L16+Datos!AF16)," - ")</f>
        <v>77</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275</v>
      </c>
      <c r="D17" s="403">
        <f>IF(ISNUMBER(C17/Datos!BH17),C17/Datos!BH17," - ")</f>
        <v>275</v>
      </c>
      <c r="E17" s="402">
        <f>IF(ISNUMBER(IF(D_I="SI",Datos!J17,Datos!J17+Datos!AD17)),IF(D_I="SI",Datos!J17,Datos!J17+Datos!AD17)," - ")</f>
        <v>558</v>
      </c>
      <c r="F17" s="403">
        <f>IF(ISNUMBER(E17/B17),E17/B17," - ")</f>
        <v>558</v>
      </c>
      <c r="G17" s="402">
        <f>IF(ISNUMBER(IF(D_I="SI",Datos!K17,Datos!K17+Datos!AE17)),IF(D_I="SI",Datos!K17,Datos!K17+Datos!AE17)," - ")</f>
        <v>420</v>
      </c>
      <c r="H17" s="403">
        <f>IF(ISNUMBER(G17/B17),G17/B17," - ")</f>
        <v>420</v>
      </c>
      <c r="I17" s="402">
        <f>IF(ISNUMBER(IF(D_I="SI",Datos!L17,Datos!L17+Datos!AF17)),IF(D_I="SI",Datos!L17,Datos!L17+Datos!AF17)," - ")</f>
        <v>317</v>
      </c>
      <c r="J17" s="403">
        <f>IF(ISNUMBER(I17/B17),I17/B17," - ")</f>
        <v>317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2627</v>
      </c>
      <c r="D18" s="849" t="str">
        <f>IF(ISNUMBER(C18/Datos!BI18),C18/Datos!BI18," - ")</f>
        <v xml:space="preserve"> - </v>
      </c>
      <c r="E18" s="848">
        <f>SUBTOTAL(9,E14:E17)</f>
        <v>6301</v>
      </c>
      <c r="F18" s="849">
        <f>IF(ISNUMBER(E18/B18),E18/B18," - ")</f>
        <v>2100.3333333333335</v>
      </c>
      <c r="G18" s="848">
        <f>SUBTOTAL(9,G14:G17)</f>
        <v>6357</v>
      </c>
      <c r="H18" s="849">
        <f>IF(ISNUMBER(G18/B18),G18/B18," - ")</f>
        <v>2119</v>
      </c>
      <c r="I18" s="848">
        <f>SUBTOTAL(9,I14:I17)</f>
        <v>2240</v>
      </c>
      <c r="J18" s="849">
        <f>IF(ISNUMBER(I18/B18),I18/B18," - ")</f>
        <v>746.66666666666663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6715</v>
      </c>
      <c r="D19" s="794" t="str">
        <f>IF(ISNUMBER(C19/Datos!BI19),C19/Datos!BI19," - ")</f>
        <v xml:space="preserve"> - </v>
      </c>
      <c r="E19" s="793">
        <f>SUBTOTAL(9,E9:E18)</f>
        <v>14792</v>
      </c>
      <c r="F19" s="794">
        <f>IF(ISNUMBER(E19/B19),E19/B19," - ")</f>
        <v>1643.5555555555557</v>
      </c>
      <c r="G19" s="793">
        <f>SUBTOTAL(9,G9:G18)</f>
        <v>16079</v>
      </c>
      <c r="H19" s="794">
        <f>IF(ISNUMBER(G19/B19),G19/B19," - ")</f>
        <v>1786.5555555555557</v>
      </c>
      <c r="I19" s="793">
        <f>SUBTOTAL(9,I9:I18)</f>
        <v>4973</v>
      </c>
      <c r="J19" s="794">
        <f>IF(ISNUMBER(I19/B19),I19/B19," - ")</f>
        <v>552.55555555555554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L1vDLhNmLXF7AVOf3dnRf5UDUqSH1gqnLr79dMNskoPBL+AvJnJiHFZev5DYwfgPbNc2uYJ2InacFCHlMnKhow==" saltValue="ProQs3i0+fILOUuESynY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LEON  Resumenes por Partidos Judiciales  PONFERRADA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547</v>
      </c>
      <c r="F5" s="1523" t="s">
        <v>406</v>
      </c>
      <c r="G5" s="1494" t="s">
        <v>128</v>
      </c>
      <c r="H5" s="1494" t="s">
        <v>680</v>
      </c>
      <c r="I5" s="1494" t="s">
        <v>681</v>
      </c>
      <c r="J5" s="1494" t="s">
        <v>684</v>
      </c>
      <c r="K5" s="1494" t="s">
        <v>685</v>
      </c>
      <c r="L5" s="1494" t="s">
        <v>575</v>
      </c>
      <c r="M5" s="1494" t="s">
        <v>706</v>
      </c>
      <c r="N5" s="1494" t="s">
        <v>686</v>
      </c>
      <c r="O5" s="1494" t="s">
        <v>682</v>
      </c>
      <c r="P5" s="1494" t="s">
        <v>168</v>
      </c>
      <c r="Q5" s="1494" t="s">
        <v>663</v>
      </c>
      <c r="R5" s="1494" t="s">
        <v>707</v>
      </c>
      <c r="S5" s="1494" t="str">
        <f>"Ingreso Computable 2003" &amp; IF(OR(EXACT(LEFT(boletin,2),"04"),EXACT(LEFT(boletin,2),"14"),EXACT(LEFT(boletin,2),"17"))," (Civil + Penal)","")</f>
        <v>Ingreso Computable 2003</v>
      </c>
      <c r="T5" s="1494" t="s">
        <v>683</v>
      </c>
      <c r="U5" s="1529" t="str">
        <f>"% Ingreso Computable 2003" &amp; IF(OR(EXACT(LEFT(boletin,2),"04"),EXACT(LEFT(boletin,2),"14"),EXACT(LEFT(boletin,2),"17"))," (Civil + Penal)","")</f>
        <v>% Ingreso Computable 2003</v>
      </c>
      <c r="V5" s="1529" t="s">
        <v>687</v>
      </c>
      <c r="W5" s="1494" t="s">
        <v>748</v>
      </c>
      <c r="X5" s="1494" t="s">
        <v>749</v>
      </c>
      <c r="Y5" s="1497" t="s">
        <v>654</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688</v>
      </c>
      <c r="AC5" s="1553" t="s">
        <v>689</v>
      </c>
      <c r="AD5" s="1553" t="s">
        <v>690</v>
      </c>
      <c r="AE5" s="1553" t="s">
        <v>691</v>
      </c>
      <c r="AF5" s="1494" t="s">
        <v>692</v>
      </c>
      <c r="AG5" s="1494" t="s">
        <v>693</v>
      </c>
      <c r="AH5" s="1494" t="s">
        <v>694</v>
      </c>
      <c r="AI5" s="1494" t="s">
        <v>695</v>
      </c>
      <c r="AJ5" s="1494" t="s">
        <v>182</v>
      </c>
      <c r="AK5" s="1506" t="s">
        <v>526</v>
      </c>
      <c r="AL5" s="1506" t="s">
        <v>183</v>
      </c>
      <c r="AM5" s="1494" t="s">
        <v>557</v>
      </c>
      <c r="AN5" s="1494" t="s">
        <v>247</v>
      </c>
      <c r="AO5" s="1494" t="s">
        <v>248</v>
      </c>
      <c r="AP5" s="1494" t="s">
        <v>696</v>
      </c>
      <c r="AQ5" s="1494" t="s">
        <v>697</v>
      </c>
      <c r="AR5" s="1494" t="s">
        <v>698</v>
      </c>
      <c r="AS5" s="1494" t="s">
        <v>699</v>
      </c>
      <c r="AT5" s="1494" t="s">
        <v>700</v>
      </c>
      <c r="AU5" s="1494" t="s">
        <v>701</v>
      </c>
      <c r="AV5" s="1494" t="s">
        <v>702</v>
      </c>
      <c r="AW5" s="1494" t="s">
        <v>703</v>
      </c>
      <c r="AX5" s="1494" t="s">
        <v>820</v>
      </c>
      <c r="AY5" s="1494" t="s">
        <v>823</v>
      </c>
      <c r="AZ5" s="1494" t="s">
        <v>704</v>
      </c>
      <c r="BA5" s="1494" t="s">
        <v>705</v>
      </c>
      <c r="BB5" s="1494" t="s">
        <v>525</v>
      </c>
      <c r="BC5" s="1353" t="s">
        <v>712</v>
      </c>
      <c r="BD5" s="1353" t="s">
        <v>713</v>
      </c>
      <c r="BE5" s="1523" t="s">
        <v>714</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21</v>
      </c>
      <c r="G10" s="683">
        <f>IF(ISNUMBER(Datos!I10),Datos!I10," - ")</f>
        <v>20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46</v>
      </c>
      <c r="AC10" s="682" t="str">
        <f>IF(ISNUMBER(IF(D_I="SI",DatosP!K17,DatosP!K17+DatosP!AE17)),IF(D_I="SI",DatosP!K17,DatosP!K17+DatosP!AE17)," - ")</f>
        <v xml:space="preserve"> - </v>
      </c>
      <c r="AD10" s="684"/>
      <c r="AE10" s="684"/>
      <c r="AF10" s="687">
        <f>IF(ISNUMBER(Datos!L10),Datos!L10,"-")</f>
        <v>48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14</v>
      </c>
      <c r="AM10" s="689">
        <f>IF(ISNUMBER(Datos!N10+DatosP!N17),Datos!N10+DatosP!N17," - ")</f>
        <v>11</v>
      </c>
      <c r="AN10" s="689">
        <f>IF(ISNUMBER(Datos!BW10+DatosP!BW17),Datos!BW10+DatosP!BW17," - ")</f>
        <v>0</v>
      </c>
      <c r="AO10" s="690">
        <f>IF(ISNUMBER(Datos!BX10+DatosP!BX17),Datos!BX10+DatosP!BX17," - ")</f>
        <v>0</v>
      </c>
      <c r="AP10" s="692">
        <f>IF(ISNUMBER(((Datos!L10/Datos!K10)*11)/factor_trimestre),((Datos!L10/Datos!K10)*11)/factor_trimestre," - ")</f>
        <v>11.478260869565217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1795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v>
      </c>
      <c r="AM12" s="689">
        <f>IF(ISNUMBER(Datos!N12+DatosP!N16),Datos!N12+DatosP!N16," - ")</f>
        <v>15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4.7948717948717947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-5.4765666140073721E-2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21</v>
      </c>
      <c r="G13" s="937">
        <f t="shared" si="0"/>
        <v>20</v>
      </c>
      <c r="H13" s="937">
        <f t="shared" si="0"/>
        <v>0</v>
      </c>
      <c r="I13" s="939">
        <f t="shared" si="0"/>
        <v>0</v>
      </c>
      <c r="J13" s="938">
        <f t="shared" si="0"/>
        <v>0</v>
      </c>
      <c r="K13" s="938">
        <f t="shared" si="0"/>
        <v>0</v>
      </c>
      <c r="L13" s="940">
        <f t="shared" si="0"/>
        <v>0</v>
      </c>
      <c r="M13" s="940">
        <f t="shared" si="0"/>
        <v>0</v>
      </c>
      <c r="N13" s="938">
        <f t="shared" si="0"/>
        <v>18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46</v>
      </c>
      <c r="AC13" s="938">
        <f t="shared" si="1"/>
        <v>0</v>
      </c>
      <c r="AD13" s="938">
        <f t="shared" si="1"/>
        <v>106</v>
      </c>
      <c r="AE13" s="938">
        <f t="shared" si="1"/>
        <v>0</v>
      </c>
      <c r="AF13" s="938">
        <f t="shared" si="1"/>
        <v>48</v>
      </c>
      <c r="AG13" s="938">
        <f t="shared" si="1"/>
        <v>0</v>
      </c>
      <c r="AH13" s="938">
        <f t="shared" si="1"/>
        <v>1795</v>
      </c>
      <c r="AI13" s="938">
        <f t="shared" si="1"/>
        <v>0</v>
      </c>
      <c r="AJ13" s="938">
        <f t="shared" si="1"/>
        <v>0</v>
      </c>
      <c r="AK13" s="938">
        <f t="shared" si="1"/>
        <v>0</v>
      </c>
      <c r="AL13" s="938">
        <f t="shared" si="1"/>
        <v>21</v>
      </c>
      <c r="AM13" s="938">
        <f t="shared" si="1"/>
        <v>26</v>
      </c>
      <c r="AN13" s="938">
        <f t="shared" si="1"/>
        <v>0</v>
      </c>
      <c r="AO13" s="938">
        <f t="shared" si="1"/>
        <v>0</v>
      </c>
      <c r="AP13" s="943">
        <f>IF(ISNUMBER(((Datos!L13/Datos!K13)*11)/factor_trimestre),((Datos!L13/Datos!K13)*11)/factor_trimestre," - ")</f>
        <v>3.1105092091007585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-2.1904761904761907</v>
      </c>
      <c r="AU13" s="938" t="str">
        <f>IF(ISNUMBER((DatosP!#REF!-DatosP!#REF!+DatosP!#REF!)/(DatosP!#REF!+DatosP!#REF!-DatosP!#REF!-DatosP!#REF!)),(DatosP!#REF!-DatosP!#REF!+DatosP!#REF!)/(DatosP!#REF!+DatosP!#REF!-DatosP!#REF!-DatosP!#REF!)," - ")</f>
        <v xml:space="preserve"> - </v>
      </c>
      <c r="AV13" s="944">
        <f>SUBTOTAL(9,AV9:AV12)</f>
        <v>-5.4765666140073721E-2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3.8760421582507467</v>
      </c>
      <c r="AQ18" s="943">
        <f>IF(ISNUMBER(((Datos!M18/Datos!L18)*11)/factor_trimestre),((Datos!M18/Datos!L18)*11)/factor_trimestre," - ")</f>
        <v>4.3950892857142856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0.27272727272727271</v>
      </c>
      <c r="AW18" s="945">
        <f>IF(ISNUMBER((Datos!Q18-Datos!R18)/(Datos!S18-Datos!Q18+Datos!R18)),(Datos!Q18-Datos!R18)/(Datos!S18-Datos!Q18+Datos!R18)," - ")</f>
        <v>-4.7039740470397405E-2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21</v>
      </c>
      <c r="G19" s="950">
        <f t="shared" si="4"/>
        <v>20</v>
      </c>
      <c r="H19" s="950">
        <f t="shared" si="4"/>
        <v>0</v>
      </c>
      <c r="I19" s="951">
        <f t="shared" si="4"/>
        <v>0</v>
      </c>
      <c r="J19" s="952">
        <f t="shared" si="4"/>
        <v>0</v>
      </c>
      <c r="K19" s="952">
        <f t="shared" si="4"/>
        <v>0</v>
      </c>
      <c r="L19" s="952">
        <f t="shared" si="4"/>
        <v>0</v>
      </c>
      <c r="M19" s="952">
        <f t="shared" si="4"/>
        <v>0</v>
      </c>
      <c r="N19" s="951">
        <f t="shared" si="4"/>
        <v>18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46</v>
      </c>
      <c r="AC19" s="956">
        <f t="shared" si="5"/>
        <v>0</v>
      </c>
      <c r="AD19" s="956">
        <f t="shared" si="5"/>
        <v>106</v>
      </c>
      <c r="AE19" s="956">
        <f t="shared" si="5"/>
        <v>0</v>
      </c>
      <c r="AF19" s="957">
        <f t="shared" si="5"/>
        <v>48</v>
      </c>
      <c r="AG19" s="957">
        <f t="shared" si="5"/>
        <v>0</v>
      </c>
      <c r="AH19" s="957">
        <f t="shared" si="5"/>
        <v>1795</v>
      </c>
      <c r="AI19" s="957">
        <f t="shared" si="5"/>
        <v>0</v>
      </c>
      <c r="AJ19" s="958">
        <f t="shared" si="5"/>
        <v>0</v>
      </c>
      <c r="AK19" s="958">
        <f t="shared" si="5"/>
        <v>0</v>
      </c>
      <c r="AL19" s="950">
        <f t="shared" si="5"/>
        <v>21</v>
      </c>
      <c r="AM19" s="950">
        <f t="shared" si="5"/>
        <v>26</v>
      </c>
      <c r="AN19" s="950">
        <f t="shared" si="5"/>
        <v>0</v>
      </c>
      <c r="AO19" s="950">
        <f t="shared" si="5"/>
        <v>0</v>
      </c>
      <c r="AP19" s="950">
        <f>IF(ISNUMBER(((Datos!L19/Datos!K19)*11)/factor_trimestre),((Datos!L19/Datos!K19)*11)/factor_trimestre," - ")</f>
        <v>3.4227240649258999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-2.1904761904761907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0.23294243070362472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12.124355652982141</v>
      </c>
      <c r="G21" s="736">
        <f>IF(ISNUMBER(STDEV(G8:G18)),STDEV(G8:G18),"-")</f>
        <v>11.547005383792515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26.558112382722783</v>
      </c>
      <c r="AC21" s="737">
        <f>IF(ISNUMBER(STDEV(AC8:AC18)),STDEV(AC8:AC18),"-")</f>
        <v>0</v>
      </c>
      <c r="AD21" s="740"/>
      <c r="AE21" s="740"/>
      <c r="AF21" s="740"/>
      <c r="AG21" s="740"/>
      <c r="AH21" s="740"/>
      <c r="AI21" s="740"/>
      <c r="AJ21" s="741">
        <f>IF(ISNUMBER(STDEV(AJ8:AJ18)),STDEV(AJ8:AJ18),"-")</f>
        <v>0</v>
      </c>
      <c r="AK21" s="743"/>
      <c r="AL21" s="735">
        <f>IF(ISNUMBER(STDEV(AL8:AL18)),STDEV(AL8:AL18),"-")</f>
        <v>9.0369611411506394</v>
      </c>
      <c r="AM21" s="735"/>
      <c r="AN21" s="735">
        <f>IF(ISNUMBER(STDEV(AN8:AN18)),STDEV(AN8:AN18),"-")</f>
        <v>0</v>
      </c>
      <c r="AO21" s="741">
        <f>IF(ISNUMBER(STDEV(AO8:AO18)),STDEV(AO8:AO18),"-")</f>
        <v>0</v>
      </c>
      <c r="AP21" s="778">
        <f>IF(ISNUMBER(STDEV(AP8:AP18)),STDEV(AP8:AP18),"-")</f>
        <v>3.8378385043679391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wxd4mLTeMw9hd/gvieQlefORW+mDBZV+nCiUtkAGrtFnLK9qdHqZiDT8GlB8SwDN+v4a3++o9b/zSQKR+rVsbw==" saltValue="P68mdVd8VSMntD3GPmiLn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LEON</v>
      </c>
      <c r="C3" s="414"/>
      <c r="F3" s="374"/>
      <c r="G3" s="374"/>
      <c r="H3" s="374"/>
    </row>
    <row r="4" spans="1:15" ht="13.5" thickBot="1">
      <c r="A4" s="374"/>
      <c r="B4" s="390" t="str">
        <f>Criterios!A11 &amp;"  "&amp;Criterios!B11</f>
        <v>Resumenes por Partidos Judiciales  PONFERRADA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dgnle8rbUxdfhFc1c0A6DTzOumd9uJIkINKmMLtE5xNqUO41U+0SmNIPSwhxW1iAQY3tjTebEZyTMRyieS4ONA==" saltValue="FgRw7YFxY2P4uJbMKM6B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LEON</v>
      </c>
      <c r="C3" s="390"/>
      <c r="D3" s="424"/>
      <c r="BZ3" s="470"/>
    </row>
    <row r="4" spans="1:78" ht="13.5" thickBot="1">
      <c r="B4" s="390" t="str">
        <f>Criterios!A11 &amp;"  "&amp;Criterios!B11</f>
        <v>Resumenes por Partidos Judiciales  PONFERRADA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3226</v>
      </c>
      <c r="E9" s="403">
        <f t="shared" ref="E9:E13" si="0">IF(ISNUMBER(D9/B9),D9/B9," - ")</f>
        <v>537.66666666666663</v>
      </c>
      <c r="F9" s="402">
        <f>IF(ISNUMBER(Datos!N9),Datos!N9," - ")</f>
        <v>2672</v>
      </c>
      <c r="G9" s="403">
        <f t="shared" ref="G9:G13" si="1">IF(ISNUMBER(F9/B9),F9/B9," - ")</f>
        <v>445.33333333333331</v>
      </c>
      <c r="H9" s="402">
        <f>IF(ISNUMBER(Datos!O9),Datos!O9," - ")</f>
        <v>3733</v>
      </c>
      <c r="I9" s="403">
        <f>IF(ISNUMBER(H9/B9),H9/B9," - ")</f>
        <v>622.16666666666663</v>
      </c>
      <c r="BZ9" s="1185">
        <f>Datos!EZ9</f>
        <v>0</v>
      </c>
    </row>
    <row r="10" spans="1:78">
      <c r="A10" s="401" t="str">
        <f>Datos!A10</f>
        <v>Jdos. Violencia contra la mujer/Secc Viol. TI.</v>
      </c>
      <c r="B10" s="426">
        <f>Datos!AO10</f>
        <v>1</v>
      </c>
      <c r="C10" s="409">
        <f>Datos!AQ10</f>
        <v>0</v>
      </c>
      <c r="D10" s="402">
        <f>IF(ISNUMBER(Datos!M10),Datos!M10," - ")</f>
        <v>14</v>
      </c>
      <c r="E10" s="403">
        <f>IF(ISNUMBER(D10/B10),D10/B10," - ")</f>
        <v>14</v>
      </c>
      <c r="F10" s="402">
        <f>IF(ISNUMBER(Datos!N10),Datos!N10," - ")</f>
        <v>11</v>
      </c>
      <c r="G10" s="403">
        <f>IF(ISNUMBER(F10/B10),F10/B10," - ")</f>
        <v>11</v>
      </c>
      <c r="H10" s="402">
        <f>IF(ISNUMBER(Datos!O10),Datos!O10," - ")</f>
        <v>8</v>
      </c>
      <c r="I10" s="403">
        <f t="shared" ref="I10:I12" si="2">IF(ISNUMBER(H10/B10),H10/B10," - ")</f>
        <v>8</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f>IF(ISNUMBER(Datos!M12),Datos!M12," - ")</f>
        <v>7</v>
      </c>
      <c r="E12" s="403" t="str">
        <f t="shared" si="0"/>
        <v xml:space="preserve"> - </v>
      </c>
      <c r="F12" s="402">
        <f>IF(ISNUMBER(Datos!N12),Datos!N12," - ")</f>
        <v>15</v>
      </c>
      <c r="G12" s="403" t="str">
        <f t="shared" si="1"/>
        <v xml:space="preserve"> - </v>
      </c>
      <c r="H12" s="402">
        <f>IF(ISNUMBER(Datos!O12),Datos!O12," - ")</f>
        <v>125</v>
      </c>
      <c r="I12" s="403" t="str">
        <f t="shared" si="2"/>
        <v xml:space="preserve"> - </v>
      </c>
      <c r="BZ12" s="1185">
        <f>Datos!EZ12</f>
        <v>0</v>
      </c>
    </row>
    <row r="13" spans="1:78" ht="14.25" thickTop="1" thickBot="1">
      <c r="A13" s="847" t="str">
        <f>Datos!A13</f>
        <v>TOTAL</v>
      </c>
      <c r="B13" s="848">
        <f>Datos!AP13</f>
        <v>6</v>
      </c>
      <c r="C13" s="850">
        <f>Datos!AR13</f>
        <v>6</v>
      </c>
      <c r="D13" s="848">
        <f>SUBTOTAL(9,D9:D12)</f>
        <v>3247</v>
      </c>
      <c r="E13" s="849">
        <f t="shared" si="0"/>
        <v>541.16666666666663</v>
      </c>
      <c r="F13" s="848">
        <f>SUBTOTAL(9,F9:F12)</f>
        <v>2698</v>
      </c>
      <c r="G13" s="849">
        <f t="shared" si="1"/>
        <v>449.66666666666669</v>
      </c>
      <c r="H13" s="848">
        <f>SUBTOTAL(9,H9:H12)</f>
        <v>3866</v>
      </c>
      <c r="I13" s="849">
        <f>IF(ISNUMBER(H13/B13),H13/B13," - ")</f>
        <v>644.33333333333337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836</v>
      </c>
      <c r="E15" s="403">
        <f t="shared" ref="E15:E18" si="3">IF(ISNUMBER(D15/B15),D15/B15," - ")</f>
        <v>278.66666666666669</v>
      </c>
      <c r="F15" s="402">
        <f>IF(ISNUMBER(Datos!N15),Datos!N15," - ")</f>
        <v>3530</v>
      </c>
      <c r="G15" s="403">
        <f t="shared" ref="G15:G18" si="4">IF(ISNUMBER(F15/B15),F15/B15," - ")</f>
        <v>1176.6666666666667</v>
      </c>
      <c r="H15" s="402">
        <f>IF(ISNUMBER(Datos!O15),Datos!O15," - ")</f>
        <v>176</v>
      </c>
      <c r="I15" s="403">
        <f t="shared" ref="I15:I17" si="5">IF(ISNUMBER(H15/B15),H15/B15," - ")</f>
        <v>58.666666666666664</v>
      </c>
      <c r="BZ15" s="1185">
        <f>Datos!EZ15</f>
        <v>0</v>
      </c>
    </row>
    <row r="16" spans="1:78">
      <c r="A16" s="401" t="str">
        <f>Datos!A16</f>
        <v xml:space="preserve">Jdos. 1ª Instª. e Instr./Secc. Civil y de Inst. TI                      </v>
      </c>
      <c r="B16" s="426">
        <f>Datos!AO16</f>
        <v>0</v>
      </c>
      <c r="C16" s="427">
        <f>Datos!AQ16</f>
        <v>0</v>
      </c>
      <c r="D16" s="402">
        <f>IF(ISNUMBER(Datos!M16),Datos!M16," - ")</f>
        <v>3</v>
      </c>
      <c r="E16" s="403" t="str">
        <f t="shared" si="3"/>
        <v xml:space="preserve"> - </v>
      </c>
      <c r="F16" s="402">
        <f>IF(ISNUMBER(Datos!N16),Datos!N16," - ")</f>
        <v>29</v>
      </c>
      <c r="G16" s="403" t="str">
        <f t="shared" si="4"/>
        <v xml:space="preserve"> - </v>
      </c>
      <c r="H16" s="402">
        <f>IF(ISNUMBER(Datos!O16),Datos!O16," - ")</f>
        <v>0</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56</v>
      </c>
      <c r="E17" s="403">
        <f>IF(ISNUMBER(D17/B17),D17/B17," - ")</f>
        <v>56</v>
      </c>
      <c r="F17" s="402">
        <f>IF(ISNUMBER(Datos!N17),Datos!N17," - ")</f>
        <v>255</v>
      </c>
      <c r="G17" s="403">
        <f>IF(ISNUMBER(F17/B17),F17/B17," - ")</f>
        <v>255</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895</v>
      </c>
      <c r="E18" s="849">
        <f t="shared" si="3"/>
        <v>298.33333333333331</v>
      </c>
      <c r="F18" s="848">
        <f>SUBTOTAL(9,F15:F17)</f>
        <v>3814</v>
      </c>
      <c r="G18" s="849">
        <f t="shared" si="4"/>
        <v>1271.3333333333333</v>
      </c>
      <c r="H18" s="848">
        <f>SUBTOTAL(9,H15:H17)</f>
        <v>176</v>
      </c>
      <c r="I18" s="849">
        <f>IF(ISNUMBER(H18/B18),H18/B18," - ")</f>
        <v>58.666666666666664</v>
      </c>
      <c r="BZ18" s="1185"/>
    </row>
    <row r="19" spans="1:78" ht="14.25" thickTop="1" thickBot="1">
      <c r="A19" s="792" t="str">
        <f>Datos!A19</f>
        <v>TOTAL JURISDICCIONES</v>
      </c>
      <c r="B19" s="793">
        <f>Datos!AP19</f>
        <v>9</v>
      </c>
      <c r="C19" s="793">
        <f>Datos!AR19</f>
        <v>9</v>
      </c>
      <c r="D19" s="793">
        <f>SUBTOTAL(9,D8:D18)</f>
        <v>4142</v>
      </c>
      <c r="E19" s="794">
        <f>IF(ISNUMBER(D19/B19),D19/B19," - ")</f>
        <v>460.22222222222223</v>
      </c>
      <c r="F19" s="793">
        <f>SUBTOTAL(9,F8:F18)</f>
        <v>6512</v>
      </c>
      <c r="G19" s="794">
        <f>IF(ISNUMBER(F19/B19),F19/B19," - ")</f>
        <v>723.55555555555554</v>
      </c>
      <c r="H19" s="793">
        <f>SUBTOTAL(9,H8:H18)</f>
        <v>4042</v>
      </c>
      <c r="I19" s="794">
        <f>IF(ISNUMBER(H19/B19),H19/B19," - ")</f>
        <v>449.11111111111109</v>
      </c>
    </row>
    <row r="22" spans="1:78">
      <c r="A22" s="390" t="str">
        <f>Criterios!A4</f>
        <v>Fecha Informe: 18 mar. 2026</v>
      </c>
    </row>
    <row r="27" spans="1:78">
      <c r="A27" s="413"/>
    </row>
  </sheetData>
  <sheetProtection algorithmName="SHA-512" hashValue="T71TNw/eP0BF2WBetUmsjWkCwKwV0Zm84kuB2DGqlbXoIkrvh86OWGdPYOA/2ncQP03c5jiHGbpaUJ4mzWGgFA==" saltValue="z7UpTOxaW1GT3OawPgrn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LEON</v>
      </c>
    </row>
    <row r="4" spans="1:4" ht="13.5" thickBot="1">
      <c r="B4" s="390" t="str">
        <f>Criterios!A11 &amp;"  "&amp;Criterios!B11</f>
        <v>Resumenes por Partidos Judiciales  PONFERRADA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2677</v>
      </c>
      <c r="C9" s="433">
        <f>IF(ISNUMBER(Datos!Q9),Datos!Q9," - ")</f>
        <v>906</v>
      </c>
      <c r="D9" s="407">
        <f>IF(ISNUMBER(Datos!R9),Datos!R9," - ")</f>
        <v>7105</v>
      </c>
    </row>
    <row r="10" spans="1:4">
      <c r="A10" s="401" t="str">
        <f>Datos!A10</f>
        <v>Jdos. Violencia contra la mujer/Secc Viol. TI.</v>
      </c>
      <c r="B10" s="432">
        <f>IF(ISNUMBER(Datos!P10),Datos!P10," - ")</f>
        <v>16</v>
      </c>
      <c r="C10" s="433">
        <f>IF(ISNUMBER(Datos!Q10),Datos!Q10," - ")</f>
        <v>4</v>
      </c>
      <c r="D10" s="407">
        <f>IF(ISNUMBER(Datos!R10),Datos!R10," - ")</f>
        <v>30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v>
      </c>
      <c r="C12" s="433">
        <f>IF(ISNUMBER(Datos!Q12),Datos!Q12," - ")</f>
        <v>106</v>
      </c>
      <c r="D12" s="407">
        <f>IF(ISNUMBER(Datos!R12),Datos!R12," - ")</f>
        <v>1795</v>
      </c>
    </row>
    <row r="13" spans="1:4" ht="14.25" thickTop="1" thickBot="1">
      <c r="A13" s="847" t="str">
        <f>Datos!A13</f>
        <v>TOTAL</v>
      </c>
      <c r="B13" s="848">
        <f>SUBTOTAL(9,B9:B12)</f>
        <v>2695</v>
      </c>
      <c r="C13" s="852">
        <f>SUBTOTAL(9,C9:C12)</f>
        <v>1016</v>
      </c>
      <c r="D13" s="850">
        <f>SUBTOTAL(9,D9:D12)</f>
        <v>8930</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272</v>
      </c>
      <c r="C15" s="433">
        <f>IF(ISNUMBER(Datos!Q15),Datos!Q15," - ")</f>
        <v>203</v>
      </c>
      <c r="D15" s="407">
        <f>IF(ISNUMBER(Datos!R15),Datos!R15," - ")</f>
        <v>317</v>
      </c>
    </row>
    <row r="16" spans="1:4">
      <c r="A16" s="401" t="str">
        <f>Datos!A16</f>
        <v xml:space="preserve">Jdos. 1ª Instª. e Instr./Secc. Civil y de Inst. TI                      </v>
      </c>
      <c r="B16" s="432">
        <f>IF(ISNUMBER(Datos!P16),Datos!P16," - ")</f>
        <v>0</v>
      </c>
      <c r="C16" s="433">
        <f>IF(ISNUMBER(Datos!Q16),Datos!Q16," - ")</f>
        <v>0</v>
      </c>
      <c r="D16" s="407">
        <f>IF(ISNUMBER(Datos!R16),Datos!R16," - ")</f>
        <v>0</v>
      </c>
    </row>
    <row r="17" spans="1:4" ht="13.5" thickBot="1">
      <c r="A17" s="401" t="str">
        <f>Datos!A17</f>
        <v>Jdos. Violencia contra la mujer/Secc Viol. TI.</v>
      </c>
      <c r="B17" s="432">
        <f>IF(ISNUMBER(Datos!P17),Datos!P17," - ")</f>
        <v>3</v>
      </c>
      <c r="C17" s="433">
        <f>IF(ISNUMBER(Datos!Q17),Datos!Q17," - ")</f>
        <v>3</v>
      </c>
      <c r="D17" s="407">
        <f>IF(ISNUMBER(Datos!R17),Datos!R17," - ")</f>
        <v>5</v>
      </c>
    </row>
    <row r="18" spans="1:4" ht="14.25" thickTop="1" thickBot="1">
      <c r="A18" s="847" t="str">
        <f>Datos!A18</f>
        <v>TOTAL</v>
      </c>
      <c r="B18" s="848">
        <f>SUBTOTAL(9,B15:B17)</f>
        <v>275</v>
      </c>
      <c r="C18" s="852">
        <f>SUBTOTAL(9,C15:C17)</f>
        <v>206</v>
      </c>
      <c r="D18" s="850">
        <f>SUBTOTAL(9,D15:D17)</f>
        <v>322</v>
      </c>
    </row>
    <row r="19" spans="1:4" ht="16.5" customHeight="1" thickTop="1" thickBot="1">
      <c r="A19" s="792" t="str">
        <f>Datos!A19</f>
        <v>TOTAL JURISDICCIONES</v>
      </c>
      <c r="B19" s="797">
        <f>SUBTOTAL(9,B8:B18)</f>
        <v>2970</v>
      </c>
      <c r="C19" s="798">
        <f>SUBTOTAL(9,C8:C18)</f>
        <v>1222</v>
      </c>
      <c r="D19" s="799">
        <f>SUBTOTAL(9,D8:D18)</f>
        <v>9252</v>
      </c>
    </row>
    <row r="20" spans="1:4" ht="7.5" customHeight="1"/>
    <row r="21" spans="1:4" ht="6" customHeight="1"/>
    <row r="22" spans="1:4">
      <c r="A22" s="390" t="str">
        <f>Criterios!A4</f>
        <v>Fecha Informe: 18 mar. 2026</v>
      </c>
    </row>
    <row r="27" spans="1:4">
      <c r="A27" s="413"/>
    </row>
  </sheetData>
  <sheetProtection algorithmName="SHA-512" hashValue="DGqeG22kh9ummRj0rGOg+ldbI+9KmJgnsZFXwnKD26UM6NtRTzXBIxR4hJGMhJ7L+4NuOn4vCpkNrK1xUk5Evw==" saltValue="GT/wT4AtxcyS2MK6lvbT9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LEON</v>
      </c>
    </row>
    <row r="4" spans="1:11" ht="10.5" customHeight="1" thickBot="1">
      <c r="B4" s="390" t="str">
        <f>Criterios!A11 &amp;"  "&amp;Criterios!B11</f>
        <v>Resumenes por Partidos Judiciales  PONFERRADA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0.16613695463738803</v>
      </c>
      <c r="C9" s="455">
        <f>IF(ISNUMBER(
   IF(J_V="SI",(Datos!J9-Datos!T9)/Datos!T9,(Datos!J9+Datos!Z9-(Datos!T9+Datos!AH9))/(Datos!T9+Datos!AH9))
     ),IF(J_V="SI",(Datos!J9-Datos!T9)/Datos!T9,(Datos!J9+Datos!Z9-(Datos!T9+Datos!AH9))/(Datos!T9+Datos!AH9))," - ")</f>
        <v>-1.4097744360902255E-2</v>
      </c>
      <c r="D9" s="455">
        <f>IF(ISNUMBER(
   IF(J_V="SI",(Datos!K9-Datos!U9)/Datos!U9,(Datos!K9+Datos!AA9-(Datos!U9+Datos!AI9))/(Datos!U9+Datos!AI9))
     ),IF(J_V="SI",(Datos!K9-Datos!U9)/Datos!U9,(Datos!K9+Datos!AA9-(Datos!U9+Datos!AI9))/(Datos!U9+Datos!AI9))," - ")</f>
        <v>0.22234906139015728</v>
      </c>
      <c r="E9" s="455">
        <f>IF(ISNUMBER(
   IF(J_V="SI",(Datos!L9-Datos!V9)/Datos!V9,(Datos!L9+Datos!AB9-(Datos!V9+Datos!AJ9))/(Datos!V9+Datos!AJ9))
     ),IF(J_V="SI",(Datos!L9-Datos!V9)/Datos!V9,(Datos!L9+Datos!AB9-(Datos!V9+Datos!AJ9))/(Datos!V9+Datos!AJ9))," - ")</f>
        <v>-0.33894945490584738</v>
      </c>
      <c r="F9" s="455">
        <f>IF(ISNUMBER((Datos!M9-Datos!W9)/Datos!W9),(Datos!M9-Datos!W9)/Datos!W9," - ")</f>
        <v>5.390395295655015E-2</v>
      </c>
      <c r="G9" s="456">
        <f>IF(ISNUMBER((Datos!N9-Datos!X9)/Datos!X9),(Datos!N9-Datos!X9)/Datos!X9," - ")</f>
        <v>0.29457364341085274</v>
      </c>
      <c r="H9" s="454">
        <f>IF(ISNUMBER(((NºAsuntos!G9/NºAsuntos!E9)-Datos!BD9)/Datos!BD9),((NºAsuntos!G9/NºAsuntos!E9)-Datos!BD9)/Datos!BD9," - ")</f>
        <v>0.2398278372918278</v>
      </c>
      <c r="I9" s="455">
        <f>IF(ISNUMBER(((NºAsuntos!I9/NºAsuntos!G9)-Datos!BE9)/Datos!BE9),((NºAsuntos!I9/NºAsuntos!G9)-Datos!BE9)/Datos!BE9," - ")</f>
        <v>-0.45919658633160748</v>
      </c>
      <c r="J9" s="460">
        <f>IF(ISNUMBER((('Resol  Asuntos'!D9/NºAsuntos!G9)-Datos!BF9)/Datos!BF9),(('Resol  Asuntos'!D9/NºAsuntos!G9)-Datos!BF9)/Datos!BF9," - ")</f>
        <v>0.27867279936099015</v>
      </c>
      <c r="K9" s="461">
        <f>IF(ISNUMBER((((NºAsuntos!C9+NºAsuntos!E9)/NºAsuntos!G9)-Datos!BG9)/Datos!BG9),(((NºAsuntos!C9+NºAsuntos!E9)/NºAsuntos!G9)-Datos!BG9)/Datos!BG9," - ")</f>
        <v>-0.15081362244254726</v>
      </c>
    </row>
    <row r="10" spans="1:11" ht="21">
      <c r="A10" s="401" t="str">
        <f>Datos!A10</f>
        <v>Jdos. Violencia contra la mujer/Secc Viol. TI.</v>
      </c>
      <c r="B10" s="454">
        <f>IF(ISNUMBER((Datos!I10-Datos!S10)/Datos!S10),(Datos!I10-Datos!S10)/Datos!S10," - ")</f>
        <v>-0.16666666666666666</v>
      </c>
      <c r="C10" s="455">
        <f>IF(ISNUMBER((Datos!J10-Datos!T10)/Datos!T10),(Datos!J10-Datos!T10)/Datos!T10," - ")</f>
        <v>0.35185185185185186</v>
      </c>
      <c r="D10" s="455">
        <f>IF(ISNUMBER((Datos!K10-Datos!U10)/Datos!U10),(Datos!K10-Datos!U10)/Datos!U10," - ")</f>
        <v>-0.20689655172413793</v>
      </c>
      <c r="E10" s="455">
        <f>IF(ISNUMBER((Datos!L10-Datos!V10)/Datos!V10),(Datos!L10-Datos!V10)/Datos!V10," - ")</f>
        <v>1.6666666666666667</v>
      </c>
      <c r="F10" s="455">
        <f>IF(ISNUMBER((Datos!M10-Datos!W10)/Datos!W10),(Datos!M10-Datos!W10)/Datos!W10," - ")</f>
        <v>-0.54838709677419351</v>
      </c>
      <c r="G10" s="456">
        <f>IF(ISNUMBER((Datos!N10-Datos!X10)/Datos!X10),(Datos!N10-Datos!X10)/Datos!X10," - ")</f>
        <v>0.1</v>
      </c>
      <c r="H10" s="454">
        <f>IF(ISNUMBER(((NºAsuntos!G10/NºAsuntos!E10)-Datos!BD10)/Datos!BD10),((NºAsuntos!G10/NºAsuntos!E10)-Datos!BD10)/Datos!BD10," - ")</f>
        <v>-0.41332073689182813</v>
      </c>
      <c r="I10" s="455">
        <f>IF(ISNUMBER(((NºAsuntos!I10/NºAsuntos!G10)-Datos!BE10)/Datos!BE10),((NºAsuntos!I10/NºAsuntos!G10)-Datos!BE10)/Datos!BE10," - ")</f>
        <v>2.36231884057971</v>
      </c>
      <c r="J10" s="460">
        <f>IF(ISNUMBER((('Resol  Asuntos'!D10/NºAsuntos!G10)-Datos!BF10)/Datos!BF10),(('Resol  Asuntos'!D10/NºAsuntos!G10)-Datos!BF10)/Datos!BF10," - ")</f>
        <v>-0.43057503506311351</v>
      </c>
      <c r="K10" s="461">
        <f>IF(ISNUMBER((((NºAsuntos!C10+NºAsuntos!E10)/NºAsuntos!G10)-Datos!BG10)/Datos!BG10),(((NºAsuntos!C10+NºAsuntos!E10)/NºAsuntos!G10)-Datos!BG10)/Datos!BG10," - ")</f>
        <v>0.50334448160535117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-0.63218390804597702</v>
      </c>
      <c r="C12" s="455">
        <f>IF(ISNUMBER(
   IF(J_V="SI",(Datos!J12-Datos!T12)/Datos!T12,(Datos!J12+Datos!Z12-(Datos!T12+Datos!AH12))/(Datos!T12+Datos!AH12))
     ),IF(J_V="SI",(Datos!J12-Datos!T12)/Datos!T12,(Datos!J12+Datos!Z12-(Datos!T12+Datos!AH12))/(Datos!T12+Datos!AH12))," - ")</f>
        <v>-0.38095238095238093</v>
      </c>
      <c r="D12" s="455">
        <f>IF(ISNUMBER(
   IF(J_V="SI",(Datos!K12-Datos!U12)/Datos!U12,(Datos!K12+Datos!AA12-(Datos!U12+Datos!AI12))/(Datos!U12+Datos!AI12))
     ),IF(J_V="SI",(Datos!K12-Datos!U12)/Datos!U12,(Datos!K12+Datos!AA12-(Datos!U12+Datos!AI12))/(Datos!U12+Datos!AI12))," - ")</f>
        <v>-0.63888888888888884</v>
      </c>
      <c r="E12" s="455">
        <f>IF(ISNUMBER(
   IF(J_V="SI",(Datos!L12-Datos!V12)/Datos!V12,(Datos!L12+Datos!AB12-(Datos!V12+Datos!AJ12))/(Datos!V12+Datos!AJ12))
     ),IF(J_V="SI",(Datos!L12-Datos!V12)/Datos!V12,(Datos!L12+Datos!AB12-(Datos!V12+Datos!AJ12))/(Datos!V12+Datos!AJ12))," - ")</f>
        <v>-0.46875</v>
      </c>
      <c r="F12" s="455">
        <f>IF(ISNUMBER((Datos!M12-Datos!W12)/Datos!W12),(Datos!M12-Datos!W12)/Datos!W12," - ")</f>
        <v>-0.75862068965517238</v>
      </c>
      <c r="G12" s="456">
        <f>IF(ISNUMBER((Datos!N12-Datos!X12)/Datos!X12),(Datos!N12-Datos!X12)/Datos!X12," - ")</f>
        <v>-0.65909090909090906</v>
      </c>
      <c r="H12" s="454">
        <f>IF(ISNUMBER(((NºAsuntos!G12/NºAsuntos!E12)-Datos!BD12)/Datos!BD12),((NºAsuntos!G12/NºAsuntos!E12)-Datos!BD12)/Datos!BD12," - ")</f>
        <v>-0.41666666666666669</v>
      </c>
      <c r="I12" s="455">
        <f>IF(ISNUMBER(((NºAsuntos!I12/NºAsuntos!G12)-Datos!BE12)/Datos!BE12),((NºAsuntos!I12/NºAsuntos!G12)-Datos!BE12)/Datos!BE12," - ")</f>
        <v>0.47115384615384626</v>
      </c>
      <c r="J12" s="460">
        <f>IF(ISNUMBER((('Resol  Asuntos'!D12/NºAsuntos!G12)-Datos!BF12)/Datos!BF12),(('Resol  Asuntos'!D12/NºAsuntos!G12)-Datos!BF12)/Datos!BF12," - ")</f>
        <v>-0.55944055944055937</v>
      </c>
      <c r="K12" s="461">
        <f>IF(ISNUMBER((((NºAsuntos!C12+NºAsuntos!E12)/NºAsuntos!G12)-Datos!BG12)/Datos!BG12),(((NºAsuntos!C12+NºAsuntos!E12)/NºAsuntos!G12)-Datos!BG12)/Datos!BG12," - ")</f>
        <v>0.24508050089445443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0.1444568868980963</v>
      </c>
      <c r="C13" s="854">
        <f>IF(ISNUMBER(
   IF(J_V="SI",(Datos!J13-Datos!T13)/Datos!T13,(Datos!J13+Datos!Z13-(Datos!T13+Datos!AH13))/(Datos!T13+Datos!AH13))
     ),IF(J_V="SI",(Datos!J13-Datos!T13)/Datos!T13,(Datos!J13+Datos!Z13-(Datos!T13+Datos!AH13))/(Datos!T13+Datos!AH13))," - ")</f>
        <v>-1.3592007434944238E-2</v>
      </c>
      <c r="D13" s="854">
        <f>IF(ISNUMBER(
   IF(J_V="SI",(Datos!K13-Datos!U13)/Datos!U13,(Datos!K13+Datos!AA13-(Datos!U13+Datos!AI13))/(Datos!U13+Datos!AI13))
     ),IF(J_V="SI",(Datos!K13-Datos!U13)/Datos!U13,(Datos!K13+Datos!AA13-(Datos!U13+Datos!AI13))/(Datos!U13+Datos!AI13))," - ")</f>
        <v>0.20770186335403726</v>
      </c>
      <c r="E13" s="854">
        <f>IF(ISNUMBER(
   IF(J_V="SI",(Datos!L13-Datos!V13)/Datos!V13,(Datos!L13+Datos!AB13-(Datos!V13+Datos!AJ13))/(Datos!V13+Datos!AJ13))
     ),IF(J_V="SI",(Datos!L13-Datos!V13)/Datos!V13,(Datos!L13+Datos!AB13-(Datos!V13+Datos!AJ13))/(Datos!V13+Datos!AJ13))," - ")</f>
        <v>-0.33113069016152719</v>
      </c>
      <c r="F13" s="855">
        <f>IF(ISNUMBER((Datos!M13-Datos!W13)/Datos!W13),(Datos!M13-Datos!W13)/Datos!W13," - ")</f>
        <v>4.0371675744953539E-2</v>
      </c>
      <c r="G13" s="856">
        <f>IF(ISNUMBER((Datos!N13-Datos!X13)/Datos!X13),(Datos!N13-Datos!X13)/Datos!X13," - ")</f>
        <v>0.27384324834749763</v>
      </c>
      <c r="H13" s="856">
        <f>IF(ISNUMBER(((NºAsuntos!G13/NºAsuntos!E13)-Datos!BD13)/Datos!BD13),((NºAsuntos!G13/NºAsuntos!E13)-Datos!BD13)/Datos!BD13," - ")</f>
        <v>0.22434314447668757</v>
      </c>
      <c r="I13" s="856">
        <f>IF(ISNUMBER(((NºAsuntos!I13/NºAsuntos!G13)-Datos!BE13)/Datos!BE13),((NºAsuntos!I13/NºAsuntos!G13)-Datos!BE13)/Datos!BE13," - ")</f>
        <v>-0.44616355233494065</v>
      </c>
      <c r="J13" s="856">
        <f>IF(ISNUMBER((('Resol  Asuntos'!D13/NºAsuntos!G13)-Datos!BF13)/Datos!BF13),(('Resol  Asuntos'!D13/NºAsuntos!G13)-Datos!BF13)/Datos!BF13," - ")</f>
        <v>0.25693195567972427</v>
      </c>
      <c r="K13" s="856">
        <f>IF(ISNUMBER((((NºAsuntos!C13+NºAsuntos!E13)/NºAsuntos!G13)-Datos!BG13)/Datos!BG13),(((NºAsuntos!C13+NºAsuntos!E13)/NºAsuntos!G13)-Datos!BG13)/Datos!BG13," - ")</f>
        <v>-0.14485631592761516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0.18854673149648837</v>
      </c>
      <c r="C15" s="455">
        <f>IF(ISNUMBER(
   IF(D_I="SI",(Datos!J15-Datos!T15)/Datos!T15,(Datos!J15+Datos!AD15-(Datos!T15+Datos!AL15))/(Datos!T15+Datos!AL15))
     ),IF(D_I="SI",(Datos!J15-Datos!T15)/Datos!T15,(Datos!J15+Datos!AD15-(Datos!T15+Datos!AL15))/(Datos!T15+Datos!AL15))," - ")</f>
        <v>-3.2617880682778433E-2</v>
      </c>
      <c r="D15" s="455">
        <f>IF(ISNUMBER(
   IF(D_I="SI",(Datos!K15-Datos!U15)/Datos!U15,(Datos!K15+Datos!AE15-(Datos!U15+Datos!AM15))/(Datos!U15+Datos!AM15))
     ),IF(D_I="SI",(Datos!K15-Datos!U15)/Datos!U15,(Datos!K15+Datos!AE15-(Datos!U15+Datos!AM15))/(Datos!U15+Datos!AM15))," - ")</f>
        <v>2.0094356106936922E-2</v>
      </c>
      <c r="E15" s="455">
        <f>IF(ISNUMBER(
   IF(D_I="SI",(Datos!L15-Datos!V15)/Datos!V15,(Datos!L15+Datos!AF15-(Datos!V15+Datos!AN15))/(Datos!V15+Datos!AN15))
     ),IF(D_I="SI",(Datos!L15-Datos!V15)/Datos!V15,(Datos!L15+Datos!AF15-(Datos!V15+Datos!AN15))/(Datos!V15+Datos!AN15))," - ")</f>
        <v>-0.16090909090909092</v>
      </c>
      <c r="F15" s="455">
        <f>IF(ISNUMBER((Datos!M15-Datos!W15)/Datos!W15),(Datos!M15-Datos!W15)/Datos!W15," - ")</f>
        <v>0.11170212765957446</v>
      </c>
      <c r="G15" s="456">
        <f>IF(ISNUMBER((Datos!N15-Datos!X15)/Datos!X15),(Datos!N15-Datos!X15)/Datos!X15," - ")</f>
        <v>-1.4144271570014145E-3</v>
      </c>
      <c r="H15" s="454">
        <f>IF(ISNUMBER(((NºAsuntos!G15/NºAsuntos!E15)-Datos!BD15)/Datos!BD15),((NºAsuntos!G15/NºAsuntos!E15)-Datos!BD15)/Datos!BD15," - ")</f>
        <v>5.4489571118928326E-2</v>
      </c>
      <c r="I15" s="455">
        <f>IF(ISNUMBER(((NºAsuntos!I15/NºAsuntos!G15)-Datos!BE15)/Datos!BE15),((NºAsuntos!I15/NºAsuntos!G15)-Datos!BE15)/Datos!BE15," - ")</f>
        <v>-0.17743794574729826</v>
      </c>
      <c r="J15" s="460">
        <f>IF(ISNUMBER((('Resol  Asuntos'!D15/NºAsuntos!G15)-Datos!BF15)/Datos!BF15),(('Resol  Asuntos'!D15/NºAsuntos!G15)-Datos!BF15)/Datos!BF15," - ")</f>
        <v>8.9803233401120994E-2</v>
      </c>
      <c r="K15" s="461">
        <f>IF(ISNUMBER((((NºAsuntos!C15+NºAsuntos!E15)/NºAsuntos!G15)-Datos!BG15)/Datos!BG15),(((NºAsuntos!C15+NºAsuntos!E15)/NºAsuntos!G15)-Datos!BG15)/Datos!BG15," - ")</f>
        <v>-1.1731088867369957E-5</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-0.46853146853146854</v>
      </c>
      <c r="C16" s="455">
        <f>IF(ISNUMBER(
   IF(D_I="SI",(Datos!J16-Datos!T16)/Datos!T16,(Datos!J16+Datos!AD16-(Datos!T16+Datos!AL16))/(Datos!T16+Datos!AL16))
     ),IF(D_I="SI",(Datos!J16-Datos!T16)/Datos!T16,(Datos!J16+Datos!AD16-(Datos!T16+Datos!AL16))/(Datos!T16+Datos!AL16))," - ")</f>
        <v>-0.24</v>
      </c>
      <c r="D16" s="455">
        <f>IF(ISNUMBER(
   IF(D_I="SI",(Datos!K16-Datos!U16)/Datos!U16,(Datos!K16+Datos!AE16-(Datos!U16+Datos!AM16))/(Datos!U16+Datos!AM16))
     ),IF(D_I="SI",(Datos!K16-Datos!U16)/Datos!U16,(Datos!K16+Datos!AE16-(Datos!U16+Datos!AM16))/(Datos!U16+Datos!AM16))," - ")</f>
        <v>-0.41420118343195267</v>
      </c>
      <c r="E16" s="455">
        <f>IF(ISNUMBER(
   IF(D_I="SI",(Datos!L16-Datos!V16)/Datos!V16,(Datos!L16+Datos!AF16-(Datos!V16+Datos!AN16))/(Datos!V16+Datos!AN16))
     ),IF(D_I="SI",(Datos!L16-Datos!V16)/Datos!V16,(Datos!L16+Datos!AF16-(Datos!V16+Datos!AN16))/(Datos!V16+Datos!AN16))," - ")</f>
        <v>-0.49342105263157893</v>
      </c>
      <c r="F16" s="455">
        <f>IF(ISNUMBER((Datos!M16-Datos!W16)/Datos!W16),(Datos!M16-Datos!W16)/Datos!W16," - ")</f>
        <v>-0.7</v>
      </c>
      <c r="G16" s="456">
        <f>IF(ISNUMBER((Datos!N16-Datos!X16)/Datos!X16),(Datos!N16-Datos!X16)/Datos!X16," - ")</f>
        <v>-0.49122807017543857</v>
      </c>
      <c r="H16" s="454">
        <f>IF(ISNUMBER(((NºAsuntos!G16/NºAsuntos!E16)-Datos!BD16)/Datos!BD16),((NºAsuntos!G16/NºAsuntos!E16)-Datos!BD16)/Datos!BD16," - ")</f>
        <v>-0.22921208346309563</v>
      </c>
      <c r="I16" s="455">
        <f>IF(ISNUMBER(((NºAsuntos!I16/NºAsuntos!G16)-Datos!BE16)/Datos!BE16),((NºAsuntos!I16/NºAsuntos!G16)-Datos!BE16)/Datos!BE16," - ")</f>
        <v>-0.13523391812865498</v>
      </c>
      <c r="J16" s="460">
        <f>IF(ISNUMBER((('Resol  Asuntos'!D16/NºAsuntos!G16)-Datos!BF16)/Datos!BF16),(('Resol  Asuntos'!D16/NºAsuntos!G16)-Datos!BF16)/Datos!BF16," - ")</f>
        <v>-0.48787878787878786</v>
      </c>
      <c r="K16" s="461">
        <f>IF(ISNUMBER((((NºAsuntos!C16+NºAsuntos!E16)/NºAsuntos!G16)-Datos!BG16)/Datos!BG16),(((NºAsuntos!C16+NºAsuntos!E16)/NºAsuntos!G16)-Datos!BG16)/Datos!BG16," - ")</f>
        <v>-6.1385559777842762E-2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0.29107981220657275</v>
      </c>
      <c r="C17" s="455">
        <f>IF(ISNUMBER(
   IF(D_I="SI",(Datos!J17-Datos!T17)/Datos!T17,(Datos!J17+Datos!AD17-(Datos!T17+Datos!AL17))/(Datos!T17+Datos!AL17))
     ),IF(D_I="SI",(Datos!J17-Datos!T17)/Datos!T17,(Datos!J17+Datos!AD17-(Datos!T17+Datos!AL17))/(Datos!T17+Datos!AL17))," - ")</f>
        <v>2.197802197802198E-2</v>
      </c>
      <c r="D17" s="455">
        <f>IF(ISNUMBER(
   IF(D_I="SI",(Datos!K17-Datos!U17)/Datos!U17,(Datos!K17+Datos!AE17-(Datos!U17+Datos!AM17))/(Datos!U17+Datos!AM17))
     ),IF(D_I="SI",(Datos!K17-Datos!U17)/Datos!U17,(Datos!K17+Datos!AE17-(Datos!U17+Datos!AM17))/(Datos!U17+Datos!AM17))," - ")</f>
        <v>-0.11392405063291139</v>
      </c>
      <c r="E17" s="455">
        <f>IF(ISNUMBER(
   IF(D_I="SI",(Datos!L17-Datos!V17)/Datos!V17,(Datos!L17+Datos!AF17-(Datos!V17+Datos!AN17))/(Datos!V17+Datos!AN17))
     ),IF(D_I="SI",(Datos!L17-Datos!V17)/Datos!V17,(Datos!L17+Datos!AF17-(Datos!V17+Datos!AN17))/(Datos!V17+Datos!AN17))," - ")</f>
        <v>0.15272727272727274</v>
      </c>
      <c r="F17" s="455">
        <f>IF(ISNUMBER((Datos!M17-Datos!W17)/Datos!W17),(Datos!M17-Datos!W17)/Datos!W17," - ")</f>
        <v>0.33333333333333331</v>
      </c>
      <c r="G17" s="456">
        <f>IF(ISNUMBER((Datos!N17-Datos!X17)/Datos!X17),(Datos!N17-Datos!X17)/Datos!X17," - ")</f>
        <v>-1.5444015444015444E-2</v>
      </c>
      <c r="H17" s="454">
        <f>IF(ISNUMBER(((NºAsuntos!G17/NºAsuntos!E17)-Datos!BD17)/Datos!BD17),((NºAsuntos!G17/NºAsuntos!E17)-Datos!BD17)/Datos!BD17," - ")</f>
        <v>-0.13297944739349396</v>
      </c>
      <c r="I17" s="455">
        <f>IF(ISNUMBER(((NºAsuntos!I17/NºAsuntos!G17)-Datos!BE17)/Datos!BE17),((NºAsuntos!I17/NºAsuntos!G17)-Datos!BE17)/Datos!BE17," - ")</f>
        <v>0.30093506493506483</v>
      </c>
      <c r="J17" s="460">
        <f>IF(ISNUMBER((('Resol  Asuntos'!D17/NºAsuntos!G17)-Datos!BF17)/Datos!BF17),(('Resol  Asuntos'!D17/NºAsuntos!G17)-Datos!BF17)/Datos!BF17," - ")</f>
        <v>0.50476190476190474</v>
      </c>
      <c r="K17" s="461">
        <f>IF(ISNUMBER((((NºAsuntos!C17+NºAsuntos!E17)/NºAsuntos!G17)-Datos!BG17)/Datos!BG17),(((NºAsuntos!C17+NºAsuntos!E17)/NºAsuntos!G17)-Datos!BG17)/Datos!BG17," - ")</f>
        <v>0.23860342555994726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0.11787234042553192</v>
      </c>
      <c r="C18" s="854">
        <f>IF(ISNUMBER(
   IF(Criterios!B14="SI",(Datos!J18-Datos!T18)/Datos!T18,(Datos!J18+Datos!AD18-(Datos!T18+Datos!AL18))/(Datos!T18+Datos!AL18))
     ),IF(Criterios!B14="SI",(Datos!J18-Datos!T18)/Datos!T18,(Datos!J18+Datos!AD18-(Datos!T18+Datos!AL18))/(Datos!T18+Datos!AL18))," - ")</f>
        <v>-2.8822441430332923E-2</v>
      </c>
      <c r="D18" s="854">
        <f>IF(ISNUMBER(
   IF(Criterios!B14="SI",(Datos!K18-Datos!U18)/Datos!U18,(Datos!K18+Datos!AE18-(Datos!U18+Datos!AM18))/(Datos!U18+Datos!AM18))
     ),IF(Criterios!B14="SI",(Datos!K18-Datos!U18)/Datos!U18,(Datos!K18+Datos!AE18-(Datos!U18+Datos!AM18))/(Datos!U18+Datos!AM18))," - ")</f>
        <v>-1.4137606032045241E-3</v>
      </c>
      <c r="E18" s="854">
        <f>IF(ISNUMBER(
   IF(Criterios!B14="SI",(Datos!L18-Datos!V18)/Datos!V18,(Datos!L18+Datos!AF18-(Datos!V18+Datos!AN18))/(Datos!V18+Datos!AN18))
     ),IF(Criterios!B14="SI",(Datos!L18-Datos!V18)/Datos!V18,(Datos!L18+Datos!AF18-(Datos!V18+Datos!AN18))/(Datos!V18+Datos!AN18))," - ")</f>
        <v>-0.14731633041492195</v>
      </c>
      <c r="F18" s="855">
        <f>IF(ISNUMBER((Datos!M18-Datos!W18)/Datos!W18),(Datos!M18-Datos!W18)/Datos!W18," - ")</f>
        <v>0.11318407960199005</v>
      </c>
      <c r="G18" s="856">
        <f>IF(ISNUMBER((Datos!N18-Datos!X18)/Datos!X18),(Datos!N18-Datos!X18)/Datos!X18," - ")</f>
        <v>-9.6078940534925997E-3</v>
      </c>
      <c r="H18" s="856">
        <f>IF(ISNUMBER(((NºAsuntos!G18/NºAsuntos!E18)-Datos!BD18)/Datos!BD18),((NºAsuntos!G18/NºAsuntos!E18)-Datos!BD18)/Datos!BD18," - ")</f>
        <v>2.8222110967530481E-2</v>
      </c>
      <c r="I18" s="856">
        <f>IF(ISNUMBER(((NºAsuntos!I18/NºAsuntos!G18)-Datos!BE18)/Datos!BE18),((NºAsuntos!I18/NºAsuntos!G18)-Datos!BE18)/Datos!BE18," - ")</f>
        <v>-0.14610913314793039</v>
      </c>
      <c r="J18" s="856">
        <f>IF(ISNUMBER((('Resol  Asuntos'!D18/NºAsuntos!G18)-Datos!BF18)/Datos!BF18),(('Resol  Asuntos'!D18/NºAsuntos!G18)-Datos!BF18)/Datos!BF18," - ")</f>
        <v>0.11476008349005312</v>
      </c>
      <c r="K18" s="856">
        <f>IF(ISNUMBER((((NºAsuntos!C18+NºAsuntos!E18)/NºAsuntos!G18)-Datos!BG18)/Datos!BG18),(((NºAsuntos!C18+NºAsuntos!E18)/NºAsuntos!G18)-Datos!BG18)/Datos!BG18," - ")</f>
        <v>1.1613478670817577E-2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0.13390746369469775</v>
      </c>
      <c r="C19" s="801">
        <f>IF(ISNUMBER(
   IF(J_V="SI",(Datos!J19-Datos!T19)/Datos!T19,(Datos!J19+Datos!Z19-(Datos!T19+Datos!AH19))/(Datos!T19+Datos!AH19))
     ),IF(J_V="SI",(Datos!J19-Datos!T19)/Datos!T19,(Datos!J19+Datos!Z19-(Datos!T19+Datos!AH19))/(Datos!T19+Datos!AH19))," - ")</f>
        <v>-2.0137784843667197E-2</v>
      </c>
      <c r="D19" s="801">
        <f>IF(ISNUMBER(
   IF(J_V="SI",(Datos!K19-Datos!U19)/Datos!U19,(Datos!K19+Datos!AA19-(Datos!U19+Datos!AI19))/(Datos!U19+Datos!AI19))
     ),IF(J_V="SI",(Datos!K19-Datos!U19)/Datos!U19,(Datos!K19+Datos!AA19-(Datos!U19+Datos!AI19))/(Datos!U19+Datos!AI19))," - ")</f>
        <v>0.11535793562708102</v>
      </c>
      <c r="E19" s="801">
        <f>IF(ISNUMBER(
   IF(J_V="SI",(Datos!L19-Datos!V19)/Datos!V19,(Datos!L19+Datos!AB19-(Datos!V19+Datos!AJ19))/(Datos!V19+Datos!AJ19))
     ),IF(J_V="SI",(Datos!L19-Datos!V19)/Datos!V19,(Datos!L19+Datos!AB19-(Datos!V19+Datos!AJ19))/(Datos!V19+Datos!AJ19))," - ")</f>
        <v>-0.25919856993892448</v>
      </c>
      <c r="F19" s="802">
        <f>IF(ISNUMBER((Datos!M19-Datos!W19)/Datos!W19),(Datos!M19-Datos!W19)/Datos!W19," - ")</f>
        <v>5.5286624203821653E-2</v>
      </c>
      <c r="G19" s="803">
        <f>IF(ISNUMBER((Datos!N19-Datos!X19)/Datos!X19),(Datos!N19-Datos!X19)/Datos!X19," - ")</f>
        <v>9.0970011727257494E-2</v>
      </c>
      <c r="H19" s="804">
        <f>IF(ISNUMBER((Tasas!B19-Datos!BD19)/Datos!BD19),(Tasas!B19-Datos!BD19)/Datos!BD19," - ")</f>
        <v>0.13828038103207244</v>
      </c>
      <c r="I19" s="805">
        <f>IF(ISNUMBER((Tasas!C19-Datos!BE19)/Datos!BE19),(Tasas!C19-Datos!BE19)/Datos!BE19," - ")</f>
        <v>-0.33581731352941946</v>
      </c>
      <c r="J19" s="806">
        <f>IF(ISNUMBER((Tasas!D19-Datos!BF19)/Datos!BF19),(Tasas!D19-Datos!BF19)/Datos!BF19," - ")</f>
        <v>0.26184372070310241</v>
      </c>
      <c r="K19" s="806">
        <f>IF(ISNUMBER((Tasas!E19-Datos!BG19)/Datos!BG19),(Tasas!E19-Datos!BG19)/Datos!BG19," - ")</f>
        <v>-8.2567362897761981E-2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4ewXOVizAG+XEfZu5OVQlv+LHPHAfBqkNrHtituxPggAKM9i5Ro8KWGkYjzBE6CCHUPQbPzxkNH7bwzbqg1NJQ==" saltValue="pfOgEXyIlxK4w0QmweLtn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LEON</v>
      </c>
    </row>
    <row r="4" spans="1:7" ht="11.25" customHeight="1" thickBot="1">
      <c r="B4" s="390" t="str">
        <f>Criterios!A11 &amp;"  "&amp;Criterios!B11</f>
        <v>Resumenes por Partidos Judiciales  PONFERRADA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1.1483555767397522</v>
      </c>
      <c r="C9" s="442">
        <f>IF(ISNUMBER(NºAsuntos!I9/NºAsuntos!G9),NºAsuntos!I9/NºAsuntos!G9," - ")</f>
        <v>0.27684964200477324</v>
      </c>
      <c r="D9" s="443">
        <f>IF(ISNUMBER('Resol  Asuntos'!D9/NºAsuntos!G9),'Resol  Asuntos'!D9/NºAsuntos!G9," - ")</f>
        <v>0.33475147867593652</v>
      </c>
      <c r="E9" s="444">
        <f>IF(ISNUMBER((NºAsuntos!C9+NºAsuntos!E9)/NºAsuntos!G9),(NºAsuntos!C9+NºAsuntos!E9)/NºAsuntos!G9," - ")</f>
        <v>1.2896129500882016</v>
      </c>
      <c r="G9" s="462"/>
    </row>
    <row r="10" spans="1:7" ht="21">
      <c r="A10" s="401" t="str">
        <f>Datos!A10</f>
        <v>Jdos. Violencia contra la mujer/Secc Viol. TI.</v>
      </c>
      <c r="B10" s="441">
        <f>IF(ISNUMBER(NºAsuntos!G10/NºAsuntos!E10),NºAsuntos!G10/NºAsuntos!E10," - ")</f>
        <v>0.63013698630136983</v>
      </c>
      <c r="C10" s="442">
        <f>IF(ISNUMBER(NºAsuntos!I10/NºAsuntos!G10),NºAsuntos!I10/NºAsuntos!G10," - ")</f>
        <v>1.0434782608695652</v>
      </c>
      <c r="D10" s="443">
        <f>IF(ISNUMBER('Resol  Asuntos'!D10/NºAsuntos!G10),'Resol  Asuntos'!D10/NºAsuntos!G10," - ")</f>
        <v>0.30434782608695654</v>
      </c>
      <c r="E10" s="444">
        <f>IF(ISNUMBER((NºAsuntos!C10+NºAsuntos!E10)/NºAsuntos!G10),(NºAsuntos!C10+NºAsuntos!E10)/NºAsuntos!G10," - ")</f>
        <v>2.0217391304347827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1.5</v>
      </c>
      <c r="C12" s="442">
        <f>IF(ISNUMBER(NºAsuntos!I12/NºAsuntos!G12),NºAsuntos!I12/NºAsuntos!G12," - ")</f>
        <v>0.4358974358974359</v>
      </c>
      <c r="D12" s="443">
        <f>IF(ISNUMBER('Resol  Asuntos'!D12/NºAsuntos!G12),'Resol  Asuntos'!D12/NºAsuntos!G12," - ")</f>
        <v>0.17948717948717949</v>
      </c>
      <c r="E12" s="444">
        <f>IF(ISNUMBER((NºAsuntos!C12+NºAsuntos!E12)/NºAsuntos!G12),(NºAsuntos!C12+NºAsuntos!E12)/NºAsuntos!G12," - ")</f>
        <v>1.4871794871794872</v>
      </c>
      <c r="G12" s="462"/>
    </row>
    <row r="13" spans="1:7" ht="14.25" thickTop="1" thickBot="1">
      <c r="A13" s="847" t="str">
        <f>Datos!A13</f>
        <v>TOTAL</v>
      </c>
      <c r="B13" s="857">
        <f>IF(ISNUMBER(NºAsuntos!G13/NºAsuntos!E13),NºAsuntos!G13/NºAsuntos!E13," - ")</f>
        <v>1.1449770345071253</v>
      </c>
      <c r="C13" s="858">
        <f>IF(ISNUMBER(NºAsuntos!I13/NºAsuntos!G13),NºAsuntos!I13/NºAsuntos!G13," - ")</f>
        <v>0.28111499691421521</v>
      </c>
      <c r="D13" s="859">
        <f>IF(ISNUMBER('Resol  Asuntos'!D13/NºAsuntos!G13),'Resol  Asuntos'!D13/NºAsuntos!G13," - ")</f>
        <v>0.33398477679489819</v>
      </c>
      <c r="E13" s="860">
        <f>IF(ISNUMBER((NºAsuntos!C13+NºAsuntos!E13)/NºAsuntos!G13),(NºAsuntos!C13+NºAsuntos!E13)/NºAsuntos!G13," - ")</f>
        <v>1.2938695741616952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1.019916142557652</v>
      </c>
      <c r="C15" s="442">
        <f>IF(ISNUMBER(NºAsuntos!I15/NºAsuntos!G15),NºAsuntos!I15/NºAsuntos!G15," - ")</f>
        <v>0.31620417951353202</v>
      </c>
      <c r="D15" s="443">
        <f>IF(ISNUMBER('Resol  Asuntos'!D15/NºAsuntos!G15),'Resol  Asuntos'!D15/NºAsuntos!G15," - ")</f>
        <v>0.14319972593353889</v>
      </c>
      <c r="E15" s="444">
        <f>IF(ISNUMBER((NºAsuntos!C15+NºAsuntos!E15)/NºAsuntos!G15),(NºAsuntos!C15+NºAsuntos!E15)/NºAsuntos!G15," - ")</f>
        <v>1.3573141486810552</v>
      </c>
      <c r="G15" s="462"/>
    </row>
    <row r="16" spans="1:7" ht="21">
      <c r="A16" s="401" t="str">
        <f>Datos!A16</f>
        <v xml:space="preserve">Jdos. 1ª Instª. e Instr./Secc. Civil y de Inst. TI                      </v>
      </c>
      <c r="B16" s="441">
        <f>IF(ISNUMBER(NºAsuntos!G16/NºAsuntos!E16),NºAsuntos!G16/NºAsuntos!E16," - ")</f>
        <v>5.2105263157894735</v>
      </c>
      <c r="C16" s="442">
        <f>IF(ISNUMBER(NºAsuntos!I16/NºAsuntos!G16),NºAsuntos!I16/NºAsuntos!G16," - ")</f>
        <v>0.77777777777777779</v>
      </c>
      <c r="D16" s="443">
        <f>IF(ISNUMBER('Resol  Asuntos'!D16/NºAsuntos!G16),'Resol  Asuntos'!D16/NºAsuntos!G16," - ")</f>
        <v>3.0303030303030304E-2</v>
      </c>
      <c r="E16" s="444">
        <f>IF(ISNUMBER((NºAsuntos!C16+NºAsuntos!E16)/NºAsuntos!G16),(NºAsuntos!C16+NºAsuntos!E16)/NºAsuntos!G16," - ")</f>
        <v>1.7272727272727273</v>
      </c>
      <c r="G16" s="462"/>
    </row>
    <row r="17" spans="1:7" ht="21.75" thickBot="1">
      <c r="A17" s="401" t="str">
        <f>Datos!A17</f>
        <v>Jdos. Violencia contra la mujer/Secc Viol. TI.</v>
      </c>
      <c r="B17" s="441">
        <f>IF(ISNUMBER(NºAsuntos!G17/NºAsuntos!E17),NºAsuntos!G17/NºAsuntos!E17," - ")</f>
        <v>0.75268817204301075</v>
      </c>
      <c r="C17" s="442">
        <f>IF(ISNUMBER(NºAsuntos!I17/NºAsuntos!G17),NºAsuntos!I17/NºAsuntos!G17," - ")</f>
        <v>0.75476190476190474</v>
      </c>
      <c r="D17" s="443">
        <f>IF(ISNUMBER('Resol  Asuntos'!D17/NºAsuntos!G17),'Resol  Asuntos'!D17/NºAsuntos!G17," - ")</f>
        <v>0.13333333333333333</v>
      </c>
      <c r="E17" s="444">
        <f>IF(ISNUMBER((NºAsuntos!C17+NºAsuntos!E17)/NºAsuntos!G17),(NºAsuntos!C17+NºAsuntos!E17)/NºAsuntos!G17," - ")</f>
        <v>1.9833333333333334</v>
      </c>
      <c r="G17" s="462"/>
    </row>
    <row r="18" spans="1:7" ht="14.25" thickTop="1" thickBot="1">
      <c r="A18" s="847" t="str">
        <f>Datos!A18</f>
        <v>TOTAL</v>
      </c>
      <c r="B18" s="857">
        <f>IF(ISNUMBER(NºAsuntos!G18/NºAsuntos!E18),NºAsuntos!G18/NºAsuntos!E18," - ")</f>
        <v>1.008887478178067</v>
      </c>
      <c r="C18" s="858">
        <f>IF(ISNUMBER(NºAsuntos!I18/NºAsuntos!G18),NºAsuntos!I18/NºAsuntos!G18," - ")</f>
        <v>0.35236746893188609</v>
      </c>
      <c r="D18" s="861">
        <f>IF(ISNUMBER('Resol  Asuntos'!D18/NºAsuntos!G18),'Resol  Asuntos'!D18/NºAsuntos!G18," - ")</f>
        <v>0.14078968066698128</v>
      </c>
      <c r="E18" s="860">
        <f>IF(ISNUMBER((NºAsuntos!C18+NºAsuntos!E18)/NºAsuntos!G18),(NºAsuntos!C18+NºAsuntos!E18)/NºAsuntos!G18," - ")</f>
        <v>1.4044360547428032</v>
      </c>
      <c r="G18" s="462"/>
    </row>
    <row r="19" spans="1:7" ht="15.75" customHeight="1" thickTop="1" thickBot="1">
      <c r="A19" s="792" t="str">
        <f>Datos!A19</f>
        <v>TOTAL JURISDICCIONES</v>
      </c>
      <c r="B19" s="807">
        <f>IF(ISNUMBER(NºAsuntos!G19/NºAsuntos!E19),NºAsuntos!G19/NºAsuntos!E19," - ")</f>
        <v>1.0870064899945917</v>
      </c>
      <c r="C19" s="808">
        <f>IF(ISNUMBER(NºAsuntos!I19/NºAsuntos!G19),NºAsuntos!I19/NºAsuntos!G19," - ")</f>
        <v>0.30928540332110205</v>
      </c>
      <c r="D19" s="809">
        <f>IF(ISNUMBER('Resol  Asuntos'!D19/NºAsuntos!G19),'Resol  Asuntos'!D19/NºAsuntos!G19," - ")</f>
        <v>0.25760308476895327</v>
      </c>
      <c r="E19" s="810">
        <f>IF(ISNUMBER((NºAsuntos!C19+NºAsuntos!E19)/NºAsuntos!G19),(NºAsuntos!C19+NºAsuntos!E19)/NºAsuntos!G19," - ")</f>
        <v>1.3375831830337708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jQ3OnQ3ouxTngZJz/wLW11It7T8i+BuFMlUdYtckqVbUurlz1DkG58R56Y8PRKyb54cA1Ed+Vmliy7fYg8wxlA==" saltValue="NZ9UfTHQnvQSzkZ0qbZcl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LEON</v>
      </c>
      <c r="N2" s="261" t="str">
        <f>Criterios!A11 &amp;"  "&amp;Criterios!B11</f>
        <v>Resumenes por Partidos Judiciales  PONFERRADA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574</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820</v>
      </c>
      <c r="AX5" s="1257" t="s">
        <v>321</v>
      </c>
      <c r="AY5" s="1257" t="s">
        <v>738</v>
      </c>
      <c r="AZ5" s="1257" t="s">
        <v>739</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2677</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906</v>
      </c>
      <c r="Y9" s="333">
        <f>SUM(W9:X9)</f>
        <v>906</v>
      </c>
      <c r="Z9" s="334" t="str">
        <f>IF(ISNUMBER(Datos!CC9),Datos!CC9," - ")</f>
        <v xml:space="preserve"> - </v>
      </c>
      <c r="AA9" s="331" t="str">
        <f>IF(ISNUMBER(IF(J_V="SI",Datos!L9,Datos!L9+Datos!AB9)-IF(Monitorios="SI",Datos!CD9,0)),
                          IF(J_V="SI",Datos!L9,Datos!L9+Datos!AB9)-IF(Monitorios="SI",Datos!CD9,0),
                          " - ")</f>
        <v xml:space="preserve"> - </v>
      </c>
      <c r="AB9" s="333">
        <f>IF(ISNUMBER(Datos!R9),Datos!R9," - ")</f>
        <v>7105</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3226</v>
      </c>
      <c r="AJ9" s="228" t="str">
        <f>IF(ISNUMBER(Datos!BW9),Datos!BW9," - ")</f>
        <v xml:space="preserve"> - </v>
      </c>
      <c r="AK9" s="227" t="str">
        <f>IF(ISNUMBER(Datos!BX9),Datos!BX9," - ")</f>
        <v xml:space="preserve"> - </v>
      </c>
      <c r="AL9" s="242">
        <f>IF(ISNUMBER(NºAsuntos!G9/NºAsuntos!E9),NºAsuntos!G9/NºAsuntos!E9," - ")</f>
        <v>1.1483555767397522</v>
      </c>
      <c r="AM9" s="259">
        <f>IF(ISNUMBER(((NºAsuntos!I9/NºAsuntos!G9)*11)/factor_trimestre),((NºAsuntos!I9/NºAsuntos!G9)*11)/factor_trimestre," - ")</f>
        <v>3.0453460620525057</v>
      </c>
      <c r="AN9" s="243">
        <f>IF(ISNUMBER('Resol  Asuntos'!D9/NºAsuntos!G9),'Resol  Asuntos'!D9/NºAsuntos!G9," - ")</f>
        <v>0.33475147867593652</v>
      </c>
      <c r="AO9" s="244">
        <f>IF(ISNUMBER((NºAsuntos!C9+NºAsuntos!E9)/NºAsuntos!G9),(NºAsuntos!C9+NºAsuntos!E9)/NºAsuntos!G9," - ")</f>
        <v>1.2896129500882016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21</v>
      </c>
      <c r="G10" s="332">
        <f>IF(ISNUMBER(Datos!I10),Datos!I10," - ")</f>
        <v>20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46</v>
      </c>
      <c r="X10" s="225">
        <f>IF(ISNUMBER(Datos!Q10),Datos!Q10," - ")</f>
        <v>4</v>
      </c>
      <c r="Y10" s="333">
        <f t="shared" ref="Y10:Y12" si="0">SUM(W10:X10)</f>
        <v>50</v>
      </c>
      <c r="Z10" s="334" t="str">
        <f>IF(ISNUMBER(Datos!CC10),Datos!CC10," - ")</f>
        <v xml:space="preserve"> - </v>
      </c>
      <c r="AA10" s="331">
        <f>IF(ISNUMBER(Datos!L10),Datos!L10,"-")</f>
        <v>48</v>
      </c>
      <c r="AB10" s="333">
        <f>IF(ISNUMBER(Datos!R10),Datos!R10," - ")</f>
        <v>30</v>
      </c>
      <c r="AC10" s="333">
        <f t="shared" ref="AC10:AC12" si="1">IF(ISNUMBER(AA10+AB10),AA10+AB10," - ")</f>
        <v>78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14</v>
      </c>
      <c r="AJ10" s="230" t="str">
        <f>IF(ISNUMBER(Datos!BW10),Datos!BW10," - ")</f>
        <v xml:space="preserve"> - </v>
      </c>
      <c r="AK10" s="231" t="str">
        <f>IF(ISNUMBER(Datos!BX10),Datos!BX10," - ")</f>
        <v xml:space="preserve"> - </v>
      </c>
      <c r="AL10" s="242">
        <f>IF(ISNUMBER(NºAsuntos!G10/NºAsuntos!E10),NºAsuntos!G10/NºAsuntos!E10," - ")</f>
        <v>0.63013698630136983</v>
      </c>
      <c r="AM10" s="259">
        <f>IF(ISNUMBER(((NºAsuntos!I10/NºAsuntos!G10)*11)/factor_trimestre),((NºAsuntos!I10/NºAsuntos!G10)*11)/factor_trimestre," - ")</f>
        <v>11.478260869565217</v>
      </c>
      <c r="AN10" s="243">
        <f>IF(ISNUMBER('Resol  Asuntos'!D10/NºAsuntos!G10),'Resol  Asuntos'!D10/NºAsuntos!G10," - ")</f>
        <v>0.30434782608695654</v>
      </c>
      <c r="AO10" s="244">
        <f>IF(ISNUMBER((NºAsuntos!C10+NºAsuntos!E10)/NºAsuntos!G10),(NºAsuntos!C10+NºAsuntos!E10)/NºAsuntos!G10," - ")</f>
        <v>2.0217391304347827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106</v>
      </c>
      <c r="Y12" s="333">
        <f t="shared" si="0"/>
        <v>106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1795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v>
      </c>
      <c r="AJ12" s="228" t="str">
        <f>IF(ISNUMBER(Datos!BW12),Datos!BW12," - ")</f>
        <v xml:space="preserve"> - </v>
      </c>
      <c r="AK12" s="227" t="str">
        <f>IF(ISNUMBER(Datos!BX12),Datos!BX12," - ")</f>
        <v xml:space="preserve"> - </v>
      </c>
      <c r="AL12" s="242">
        <f>IF(ISNUMBER(NºAsuntos!G12/NºAsuntos!E12),NºAsuntos!G12/NºAsuntos!E12," - ")</f>
        <v>1.5</v>
      </c>
      <c r="AM12" s="259">
        <f>IF(ISNUMBER(((NºAsuntos!I12/NºAsuntos!G12)*11)/factor_trimestre),((NºAsuntos!I12/NºAsuntos!G12)*11)/factor_trimestre," - ")</f>
        <v>4.7948717948717947</v>
      </c>
      <c r="AN12" s="243">
        <f>IF(ISNUMBER('Resol  Asuntos'!D12/NºAsuntos!G12),'Resol  Asuntos'!D12/NºAsuntos!G12," - ")</f>
        <v>0.17948717948717949</v>
      </c>
      <c r="AO12" s="244">
        <f>IF(ISNUMBER((NºAsuntos!C12+NºAsuntos!E12)/NºAsuntos!G12),(NºAsuntos!C12+NºAsuntos!E12)/NºAsuntos!G12," - ")</f>
        <v>1.4871794871794872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21</v>
      </c>
      <c r="G13" s="865">
        <f t="shared" si="3"/>
        <v>20</v>
      </c>
      <c r="H13" s="864">
        <f t="shared" si="3"/>
        <v>0</v>
      </c>
      <c r="I13" s="866">
        <f t="shared" si="3"/>
        <v>0</v>
      </c>
      <c r="J13" s="866">
        <f t="shared" si="3"/>
        <v>0</v>
      </c>
      <c r="K13" s="866">
        <f t="shared" si="3"/>
        <v>0</v>
      </c>
      <c r="L13" s="866">
        <f t="shared" si="3"/>
        <v>2695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46</v>
      </c>
      <c r="X13" s="866">
        <f t="shared" si="4"/>
        <v>1016</v>
      </c>
      <c r="Y13" s="867">
        <f t="shared" si="4"/>
        <v>1062</v>
      </c>
      <c r="Z13" s="867">
        <f t="shared" si="4"/>
        <v>0</v>
      </c>
      <c r="AA13" s="867">
        <f t="shared" si="4"/>
        <v>48</v>
      </c>
      <c r="AB13" s="867">
        <f t="shared" si="4"/>
        <v>8930</v>
      </c>
      <c r="AC13" s="867">
        <f t="shared" si="4"/>
        <v>78</v>
      </c>
      <c r="AD13" s="867">
        <f t="shared" si="4"/>
        <v>0</v>
      </c>
      <c r="AE13" s="871">
        <f t="shared" si="4"/>
        <v>0</v>
      </c>
      <c r="AF13" s="864">
        <f t="shared" si="4"/>
        <v>0</v>
      </c>
      <c r="AG13" s="872">
        <f t="shared" si="4"/>
        <v>0</v>
      </c>
      <c r="AH13" s="869">
        <f t="shared" si="4"/>
        <v>0</v>
      </c>
      <c r="AI13" s="864">
        <f t="shared" si="4"/>
        <v>3247</v>
      </c>
      <c r="AJ13" s="866">
        <f t="shared" si="4"/>
        <v>0</v>
      </c>
      <c r="AK13" s="869">
        <f>SUBTOTAL(9,AK9:AK12)</f>
        <v>0</v>
      </c>
      <c r="AL13" s="873">
        <f>IF(ISNUMBER(NºAsuntos!G13/NºAsuntos!E13),NºAsuntos!G13/NºAsuntos!E13," - ")</f>
        <v>1.1449770345071253</v>
      </c>
      <c r="AM13" s="873">
        <f>IF(ISNUMBER(((NºAsuntos!I13/NºAsuntos!G13)*11)/factor_trimestre),((NºAsuntos!I13/NºAsuntos!G13)*11)/factor_trimestre," - ")</f>
        <v>3.0922649660563675</v>
      </c>
      <c r="AN13" s="874">
        <f>IF(ISNUMBER('Resol  Asuntos'!D13/NºAsuntos!G13),'Resol  Asuntos'!D13/NºAsuntos!G13," - ")</f>
        <v>0.33398477679489819</v>
      </c>
      <c r="AO13" s="875">
        <f>IF(ISNUMBER((NºAsuntos!C13+NºAsuntos!E13)/NºAsuntos!G13),(NºAsuntos!C13+NºAsuntos!E13)/NºAsuntos!G13," - ")</f>
        <v>1.2938695741616952</v>
      </c>
      <c r="AP13" s="876" t="str">
        <f t="shared" si="2"/>
        <v xml:space="preserve"> - </v>
      </c>
      <c r="AQ13" s="876">
        <f>IF(ISNUMBER((H13-W13+K13)/(F13)),(H13-W13+K13)/(F13)," - ")</f>
        <v>-2.1904761904761907</v>
      </c>
      <c r="AR13" s="877">
        <f>IF(ISNUMBER((Datos!P13-Datos!Q13)/(Datos!R13-Datos!P13+Datos!Q13)),(Datos!P13-Datos!Q13)/(Datos!R13-Datos!P13+Datos!Q13)," - ")</f>
        <v>0.23155426837677562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1960</v>
      </c>
      <c r="G15" s="332">
        <f>IF(ISNUMBER(IF(D_I="SI",Datos!I15,Datos!I15+Datos!AC15)),IF(D_I="SI",Datos!I15,Datos!I15+Datos!AC15)," - ")</f>
        <v>2200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272</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5838</v>
      </c>
      <c r="X15" s="225">
        <f>IF(ISNUMBER(Datos!Q15),Datos!Q15," - ")</f>
        <v>203</v>
      </c>
      <c r="Y15" s="333">
        <f>SUM(W15)</f>
        <v>5838</v>
      </c>
      <c r="Z15" s="334" t="str">
        <f>IF(ISNUMBER(Datos!CC15),Datos!CC15," - ")</f>
        <v xml:space="preserve"> - </v>
      </c>
      <c r="AA15" s="331">
        <f>IF(ISNUMBER(IF(D_I="SI",Datos!L15,Datos!L15+Datos!AF15)),IF(D_I="SI",Datos!L15,Datos!L15+Datos!AF15)," - ")</f>
        <v>1846</v>
      </c>
      <c r="AB15" s="333">
        <f>IF(ISNUMBER(Datos!R15),Datos!R15," - ")</f>
        <v>317</v>
      </c>
      <c r="AC15" s="333">
        <f t="shared" ref="AC15:AC17" si="6">IF(ISNUMBER(AA15+AB15),AA15+AB15," - ")</f>
        <v>2163</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836</v>
      </c>
      <c r="AJ15" s="230" t="str">
        <f>IF(ISNUMBER(Datos!BW15),Datos!BW15," - ")</f>
        <v xml:space="preserve"> - </v>
      </c>
      <c r="AK15" s="231" t="str">
        <f>IF(ISNUMBER(Datos!BX15),Datos!BX15," - ")</f>
        <v xml:space="preserve"> - </v>
      </c>
      <c r="AL15" s="242">
        <f>IF(ISNUMBER(NºAsuntos!G15/NºAsuntos!E15),NºAsuntos!G15/NºAsuntos!E15," - ")</f>
        <v>1.019916142557652</v>
      </c>
      <c r="AM15" s="259">
        <f>IF(ISNUMBER(((NºAsuntos!I15/NºAsuntos!G15)*11)/factor_trimestre),((NºAsuntos!I15/NºAsuntos!G15)*11)/factor_trimestre," - ")</f>
        <v>3.4782459746488521</v>
      </c>
      <c r="AN15" s="243">
        <f>IF(ISNUMBER('Resol  Asuntos'!D15/NºAsuntos!G15),'Resol  Asuntos'!D15/NºAsuntos!G15," - ")</f>
        <v>0.14319972593353889</v>
      </c>
      <c r="AO15" s="244">
        <f>IF(ISNUMBER((NºAsuntos!C15+NºAsuntos!E15)/NºAsuntos!G15),(NºAsuntos!C15+NºAsuntos!E15)/NºAsuntos!G15," - ")</f>
        <v>1.3573141486810552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f>IF(ISNUMBER(AA16+W16-Datos!J16-K16),AA16+W16-Datos!J16-K16," - ")</f>
        <v>157</v>
      </c>
      <c r="G16" s="332">
        <f>IF(ISNUMBER(IF(D_I="SI",Datos!I16,Datos!I16+Datos!AC16)),IF(D_I="SI",Datos!I16,Datos!I16+Datos!AC16)," - ")</f>
        <v>152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99</v>
      </c>
      <c r="X16" s="225">
        <f>IF(ISNUMBER(Datos!Q16),Datos!Q16," - ")</f>
        <v>0</v>
      </c>
      <c r="Y16" s="333">
        <f t="shared" ref="Y16:Y17" si="7">SUM(W16:X16)</f>
        <v>99</v>
      </c>
      <c r="Z16" s="334" t="str">
        <f>IF(ISNUMBER(Datos!CC16),Datos!CC16," - ")</f>
        <v xml:space="preserve"> - </v>
      </c>
      <c r="AA16" s="331">
        <f>IF(ISNUMBER(IF(D_I="SI",Datos!L16,Datos!L16+Datos!AF16)),IF(D_I="SI",Datos!L16,Datos!L16+Datos!AF16)," - ")</f>
        <v>77</v>
      </c>
      <c r="AB16" s="333">
        <f>IF(ISNUMBER(Datos!R16),Datos!R16," - ")</f>
        <v>0</v>
      </c>
      <c r="AC16" s="333">
        <f t="shared" si="6"/>
        <v>77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v>
      </c>
      <c r="AJ16" s="230" t="str">
        <f>IF(ISNUMBER(Datos!BW16),Datos!BW16," - ")</f>
        <v xml:space="preserve"> - </v>
      </c>
      <c r="AK16" s="231" t="str">
        <f>IF(ISNUMBER(Datos!BX16),Datos!BX16," - ")</f>
        <v xml:space="preserve"> - </v>
      </c>
      <c r="AL16" s="242">
        <f>IF(ISNUMBER(NºAsuntos!G16/NºAsuntos!E16),NºAsuntos!G16/NºAsuntos!E16," - ")</f>
        <v>5.2105263157894735</v>
      </c>
      <c r="AM16" s="259">
        <f>IF(ISNUMBER(((NºAsuntos!I16/NºAsuntos!G16)*11)/factor_trimestre),((NºAsuntos!I16/NºAsuntos!G16)*11)/factor_trimestre," - ")</f>
        <v>8.5555555555555554</v>
      </c>
      <c r="AN16" s="243">
        <f>IF(ISNUMBER('Resol  Asuntos'!D16/NºAsuntos!G16),'Resol  Asuntos'!D16/NºAsuntos!G16," - ")</f>
        <v>3.0303030303030304E-2</v>
      </c>
      <c r="AO16" s="244">
        <f>IF(ISNUMBER((NºAsuntos!C16+NºAsuntos!E16)/NºAsuntos!G16),(NºAsuntos!C16+NºAsuntos!E16)/NºAsuntos!G16," - ")</f>
        <v>1.7272727272727273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275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420</v>
      </c>
      <c r="X17" s="225">
        <f>IF(ISNUMBER(Datos!Q17),Datos!Q17," - ")</f>
        <v>3</v>
      </c>
      <c r="Y17" s="333">
        <f t="shared" si="7"/>
        <v>423</v>
      </c>
      <c r="Z17" s="334" t="str">
        <f>IF(ISNUMBER(Datos!CC17),Datos!CC17," - ")</f>
        <v xml:space="preserve"> - </v>
      </c>
      <c r="AA17" s="331">
        <f>IF(ISNUMBER(Datos!L17),Datos!L17,"-")</f>
        <v>317</v>
      </c>
      <c r="AB17" s="333">
        <f>IF(ISNUMBER(Datos!R17),Datos!R17," - ")</f>
        <v>5</v>
      </c>
      <c r="AC17" s="333">
        <f t="shared" si="6"/>
        <v>322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56</v>
      </c>
      <c r="AJ17" s="230" t="str">
        <f>IF(ISNUMBER(Datos!BW17),Datos!BW17," - ")</f>
        <v xml:space="preserve"> - </v>
      </c>
      <c r="AK17" s="231" t="str">
        <f>IF(ISNUMBER(Datos!BX17),Datos!BX17," - ")</f>
        <v xml:space="preserve"> - </v>
      </c>
      <c r="AL17" s="242">
        <f>IF(ISNUMBER(NºAsuntos!G17/NºAsuntos!E17),NºAsuntos!G17/NºAsuntos!E17," - ")</f>
        <v>0.75268817204301075</v>
      </c>
      <c r="AM17" s="259">
        <f>IF(ISNUMBER(((NºAsuntos!I17/NºAsuntos!G17)*11)/factor_trimestre),((NºAsuntos!I17/NºAsuntos!G17)*11)/factor_trimestre," - ")</f>
        <v>8.3023809523809522</v>
      </c>
      <c r="AN17" s="243">
        <f>IF(ISNUMBER('Resol  Asuntos'!D17/NºAsuntos!G17),'Resol  Asuntos'!D17/NºAsuntos!G17," - ")</f>
        <v>0.13333333333333333</v>
      </c>
      <c r="AO17" s="244">
        <f>IF(ISNUMBER((NºAsuntos!C17+NºAsuntos!E17)/NºAsuntos!G17),(NºAsuntos!C17+NºAsuntos!E17)/NºAsuntos!G17," - ")</f>
        <v>1.9833333333333334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2117</v>
      </c>
      <c r="G18" s="865">
        <f>SUBTOTAL(9,G15:G17)</f>
        <v>2627</v>
      </c>
      <c r="H18" s="864">
        <f t="shared" ref="H18:O18" si="10">SUBTOTAL(9,H14:H17)</f>
        <v>0</v>
      </c>
      <c r="I18" s="866">
        <f t="shared" si="10"/>
        <v>0</v>
      </c>
      <c r="J18" s="866">
        <f t="shared" si="10"/>
        <v>0</v>
      </c>
      <c r="K18" s="866">
        <f t="shared" si="10"/>
        <v>0</v>
      </c>
      <c r="L18" s="866">
        <f t="shared" si="10"/>
        <v>275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6357</v>
      </c>
      <c r="X18" s="866">
        <f t="shared" si="11"/>
        <v>206</v>
      </c>
      <c r="Y18" s="867">
        <f t="shared" si="11"/>
        <v>6360</v>
      </c>
      <c r="Z18" s="867">
        <f t="shared" si="11"/>
        <v>0</v>
      </c>
      <c r="AA18" s="867">
        <f t="shared" si="11"/>
        <v>2240</v>
      </c>
      <c r="AB18" s="867">
        <f t="shared" si="11"/>
        <v>322</v>
      </c>
      <c r="AC18" s="867">
        <f t="shared" si="11"/>
        <v>2562</v>
      </c>
      <c r="AD18" s="867">
        <f t="shared" si="11"/>
        <v>0</v>
      </c>
      <c r="AE18" s="871">
        <f t="shared" si="11"/>
        <v>0</v>
      </c>
      <c r="AF18" s="864">
        <f t="shared" si="11"/>
        <v>0</v>
      </c>
      <c r="AG18" s="872">
        <f t="shared" si="11"/>
        <v>0</v>
      </c>
      <c r="AH18" s="869">
        <f t="shared" si="11"/>
        <v>0</v>
      </c>
      <c r="AI18" s="864">
        <f t="shared" si="11"/>
        <v>895</v>
      </c>
      <c r="AJ18" s="866">
        <f t="shared" si="11"/>
        <v>0</v>
      </c>
      <c r="AK18" s="869">
        <f t="shared" si="11"/>
        <v>0</v>
      </c>
      <c r="AL18" s="873">
        <f>IF(ISNUMBER(NºAsuntos!G18/NºAsuntos!E18),NºAsuntos!G18/NºAsuntos!E18," - ")</f>
        <v>1.008887478178067</v>
      </c>
      <c r="AM18" s="873">
        <f>IF(ISNUMBER(((NºAsuntos!I18/NºAsuntos!G18)*11)/factor_trimestre),((NºAsuntos!I18/NºAsuntos!G18)*11)/factor_trimestre," - ")</f>
        <v>3.8760421582507467</v>
      </c>
      <c r="AN18" s="874">
        <f>IF(ISNUMBER('Resol  Asuntos'!D18/NºAsuntos!G18),'Resol  Asuntos'!D18/NºAsuntos!G18," - ")</f>
        <v>0.14078968066698128</v>
      </c>
      <c r="AO18" s="875">
        <f>IF(ISNUMBER((NºAsuntos!C18+NºAsuntos!E18)/NºAsuntos!G18),(NºAsuntos!C18+NºAsuntos!E18)/NºAsuntos!G18," - ")</f>
        <v>1.4044360547428032</v>
      </c>
      <c r="AP18" s="876" t="str">
        <f t="shared" si="2"/>
        <v xml:space="preserve"> - </v>
      </c>
      <c r="AQ18" s="876">
        <f>IF(ISNUMBER((H18-W18+K18)/(F18)),(H18-W18+K18)/(F18)," - ")</f>
        <v>-3.0028341993386869</v>
      </c>
      <c r="AR18" s="877">
        <f>IF(ISNUMBER((Datos!P18-Datos!Q18)/(Datos!R18-Datos!P18+Datos!Q18)),(Datos!P18-Datos!Q18)/(Datos!R18-Datos!P18+Datos!Q18)," - ")</f>
        <v>0.27272727272727271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9</v>
      </c>
      <c r="F19" s="819">
        <f t="shared" si="13"/>
        <v>2138</v>
      </c>
      <c r="G19" s="820">
        <f t="shared" si="13"/>
        <v>2647</v>
      </c>
      <c r="H19" s="819">
        <f t="shared" si="13"/>
        <v>0</v>
      </c>
      <c r="I19" s="821">
        <f t="shared" si="13"/>
        <v>0</v>
      </c>
      <c r="J19" s="821">
        <f t="shared" si="13"/>
        <v>0</v>
      </c>
      <c r="K19" s="880">
        <f t="shared" si="13"/>
        <v>0</v>
      </c>
      <c r="L19" s="821">
        <f t="shared" si="13"/>
        <v>2970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6403</v>
      </c>
      <c r="X19" s="820">
        <f t="shared" si="14"/>
        <v>1222</v>
      </c>
      <c r="Y19" s="827">
        <f t="shared" si="14"/>
        <v>7422</v>
      </c>
      <c r="Z19" s="827">
        <f t="shared" si="14"/>
        <v>0</v>
      </c>
      <c r="AA19" s="827">
        <f t="shared" si="14"/>
        <v>2288</v>
      </c>
      <c r="AB19" s="827">
        <f t="shared" si="14"/>
        <v>9252</v>
      </c>
      <c r="AC19" s="827">
        <f t="shared" si="14"/>
        <v>2640</v>
      </c>
      <c r="AD19" s="827">
        <f t="shared" si="14"/>
        <v>0</v>
      </c>
      <c r="AE19" s="829">
        <f t="shared" si="14"/>
        <v>0</v>
      </c>
      <c r="AF19" s="830">
        <f t="shared" si="14"/>
        <v>0</v>
      </c>
      <c r="AG19" s="831">
        <f t="shared" si="14"/>
        <v>0</v>
      </c>
      <c r="AH19" s="829">
        <f t="shared" si="14"/>
        <v>0</v>
      </c>
      <c r="AI19" s="819">
        <f t="shared" si="14"/>
        <v>4142</v>
      </c>
      <c r="AJ19" s="819">
        <f t="shared" si="14"/>
        <v>0</v>
      </c>
      <c r="AK19" s="829">
        <f t="shared" si="14"/>
        <v>0</v>
      </c>
      <c r="AL19" s="883">
        <f>IF(ISNUMBER(NºAsuntos!G19/NºAsuntos!E19),NºAsuntos!G19/NºAsuntos!E19," - ")</f>
        <v>1.0870064899945917</v>
      </c>
      <c r="AM19" s="884">
        <f>IF(ISNUMBER(((NºAsuntos!I19/NºAsuntos!G19)*11)/factor_trimestre),((NºAsuntos!I19/NºAsuntos!G19)*11)/factor_trimestre," - ")</f>
        <v>3.4021394365321225</v>
      </c>
      <c r="AN19" s="884">
        <f>IF(ISNUMBER('Resol  Asuntos'!D19/NºAsuntos!G19),'Resol  Asuntos'!D19/NºAsuntos!G19," - ")</f>
        <v>0.25760308476895327</v>
      </c>
      <c r="AO19" s="885">
        <f>IF(ISNUMBER((NºAsuntos!C19+NºAsuntos!E19)/NºAsuntos!G19),(NºAsuntos!C19+NºAsuntos!E19)/NºAsuntos!G19," - ")</f>
        <v>1.3375831830337708</v>
      </c>
      <c r="AP19" s="886" t="str">
        <f t="shared" si="2"/>
        <v xml:space="preserve"> - </v>
      </c>
      <c r="AQ19" s="887">
        <f>IF(OR(ISNUMBER(FIND("01",Criterios!A8,1)),ISNUMBER(FIND("02",Criterios!A8,1)),ISNUMBER(FIND("03",Criterios!A8,1)),ISNUMBER(FIND("04",Criterios!A8,1))),(I19-W19+K19)/(F19-K19),(H19-W19+K19)/(F19-K19))</f>
        <v>-2.9948550046772686</v>
      </c>
      <c r="AR19" s="888">
        <f>IF(ISNUMBER((Datos!P19-Datos!Q19)/(Datos!R19-Datos!P19+Datos!Q19)),(Datos!P19-Datos!Q19)/(Datos!R19-Datos!P19+Datos!Q19)," - ")</f>
        <v>0.23294243070362472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882.33333333333337</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2.598076211353316</v>
      </c>
      <c r="F21" s="251">
        <f>IF(ISNUMBER(STDEV(F8:F18)),STDEV(F8:F18),"-")</f>
        <v>1083.0494910206089</v>
      </c>
      <c r="G21" s="252">
        <f>IF(ISNUMBER(STDEV(G8:G18)),STDEV(G8:G18),"-")</f>
        <v>1197.4627621210884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3077.3967353376238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1407.9018837567178</v>
      </c>
      <c r="AJ21" s="251">
        <f t="shared" si="18"/>
        <v>0</v>
      </c>
      <c r="AK21" s="253">
        <f t="shared" si="18"/>
        <v>0</v>
      </c>
      <c r="AL21" s="248">
        <f t="shared" si="18"/>
        <v>1.5015673022561724</v>
      </c>
      <c r="AM21" s="249">
        <f t="shared" si="18"/>
        <v>3.1873368768437969</v>
      </c>
      <c r="AN21" s="249">
        <f t="shared" si="18"/>
        <v>0.11173486487359967</v>
      </c>
      <c r="AO21" s="250">
        <f t="shared" si="18"/>
        <v>0.30095453062749206</v>
      </c>
      <c r="AP21" s="290" t="str">
        <f t="shared" si="18"/>
        <v>-</v>
      </c>
      <c r="AQ21" s="291">
        <f t="shared" si="18"/>
        <v>0.57442385681787289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5+P3X4dSuQpLGT+7HJhXZa8oJCTXydrra3YBx8bKFoKCIB09621KSwcyR5427f8oWZ3awC1RN0B2BO8zDcBZDQ==" saltValue="/xHyzqt42/3EU0t973jUL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LEON</v>
      </c>
      <c r="E3" s="262"/>
    </row>
    <row r="4" spans="2:20" ht="17.25" customHeight="1" thickBot="1">
      <c r="D4" s="261" t="str">
        <f>Criterios!A11 &amp;"  "&amp;Criterios!B11</f>
        <v>Resumenes por Partidos Judiciales  PONFERRADA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5.390395295655015E-2</v>
      </c>
      <c r="I9" s="349">
        <f>IF(ISNUMBER((Tasas!C9-Datos!BE9)/Datos!BE9),(Tasas!C9-Datos!BE9)/Datos!BE9," - ")</f>
        <v>-0.45919658633160748</v>
      </c>
      <c r="J9" s="348">
        <f>IF(ISNUMBER((Tasas!D9-Datos!BF9)/Datos!BF9),(Tasas!D9-Datos!BF9)/Datos!BF9," - ")</f>
        <v>0.27867279936099015</v>
      </c>
      <c r="K9" s="350">
        <f>IF(ISNUMBER((Tasas!E9-Datos!BG9)/Datos!BG9),(Tasas!E9-Datos!BG9)/Datos!BG9," - ")</f>
        <v>-0.15081362244254726</v>
      </c>
      <c r="M9" t="e">
        <f>IF(Monitorios="SI",Datos!CE9,0)</f>
        <v>#REF!</v>
      </c>
      <c r="N9" t="e">
        <f>IF(Monitorios="SI",Datos!CF9,0)</f>
        <v>#REF!</v>
      </c>
      <c r="O9" t="e">
        <f>IF(Monitorios="SI",Datos!CG9,0)</f>
        <v>#REF!</v>
      </c>
      <c r="P9" t="e">
        <f>IF(Monitorios="SI",Datos!CH9,0)</f>
        <v>#REF!</v>
      </c>
      <c r="Q9">
        <f>IF(J_V="SI",0,Datos!AG9)</f>
        <v>53</v>
      </c>
      <c r="R9">
        <f>IF(J_V="SI",0,Datos!AH9)</f>
        <v>325</v>
      </c>
      <c r="S9">
        <f>IF(J_V="SI",0,Datos!AI9)</f>
        <v>357</v>
      </c>
      <c r="T9">
        <f>IF(J_V="SI",0,Datos!AJ9)</f>
        <v>24</v>
      </c>
    </row>
    <row r="10" spans="2:20" ht="14.25">
      <c r="B10" s="274" t="s">
        <v>246</v>
      </c>
      <c r="C10" s="7" t="str">
        <f>Datos!A10</f>
        <v>Jdos. Violencia contra la mujer/Secc Viol. TI.</v>
      </c>
      <c r="D10" s="351">
        <f>IF(ISNUMBER((Datos!I10-Datos!S10)/Datos!S10),(Datos!I10-Datos!S10)/Datos!S10," - ")</f>
        <v>-0.16666666666666666</v>
      </c>
      <c r="E10" s="347">
        <f>IF(ISNUMBER((Datos!J10-Datos!T10)/Datos!T10),(Datos!J10-Datos!T10)/Datos!T10," - ")</f>
        <v>0.35185185185185186</v>
      </c>
      <c r="F10" s="347">
        <f>IF(ISNUMBER((Datos!K10-Datos!U10)/Datos!U10),(Datos!K10-Datos!U10)/Datos!U10," - ")</f>
        <v>-0.20689655172413793</v>
      </c>
      <c r="G10" s="348">
        <f>IF(ISNUMBER((Datos!L10-Datos!V10)/Datos!V10),(Datos!L10-Datos!V10)/Datos!V10," - ")</f>
        <v>1.6666666666666667</v>
      </c>
      <c r="H10" s="229">
        <f>IF(ISNUMBER((Datos!M10-Datos!W10)/Datos!W10),(Datos!M10-Datos!W10)/Datos!W10," - ")</f>
        <v>-0.54838709677419351</v>
      </c>
      <c r="I10" s="349">
        <f>IF(ISNUMBER((Tasas!C10-Datos!BE10)/Datos!BE10),(Tasas!C10-Datos!BE10)/Datos!BE10," - ")</f>
        <v>2.36231884057971</v>
      </c>
      <c r="J10" s="348">
        <f>IF(ISNUMBER((Tasas!D10-Datos!BF10)/Datos!BF10),(Tasas!D10-Datos!BF10)/Datos!BF10," - ")</f>
        <v>-0.43057503506311351</v>
      </c>
      <c r="K10" s="350">
        <f>IF(ISNUMBER((Tasas!E10-Datos!BG10)/Datos!BG10),(Tasas!E10-Datos!BG10)/Datos!BG10," - ")</f>
        <v>0.50334448160535117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-0.75862068965517238</v>
      </c>
      <c r="I12" s="349">
        <f>IF(ISNUMBER((Tasas!C12-Datos!BE12)/Datos!BE12),(Tasas!C12-Datos!BE12)/Datos!BE12," - ")</f>
        <v>0.47115384615384626</v>
      </c>
      <c r="J12" s="348">
        <f>IF(ISNUMBER((Tasas!D12-Datos!BF12)/Datos!BF12),(Tasas!D12-Datos!BF12)/Datos!BF12," - ")</f>
        <v>-0.55944055944055937</v>
      </c>
      <c r="K12" s="350">
        <f>IF(ISNUMBER((Tasas!E12-Datos!BG12)/Datos!BG12),(Tasas!E12-Datos!BG12)/Datos!BG12," - ")</f>
        <v>0.24508050089445443</v>
      </c>
      <c r="M12" t="e">
        <f>IF(Monitorios="SI",Datos!CE12,0)</f>
        <v>#REF!</v>
      </c>
      <c r="N12" t="e">
        <f>IF(Monitorios="SI",Datos!CF12,0)</f>
        <v>#REF!</v>
      </c>
      <c r="O12" t="e">
        <f>IF(Monitorios="SI",Datos!CG12,0)</f>
        <v>#REF!</v>
      </c>
      <c r="P12" t="e">
        <f>IF(Monitorios="SI",Datos!CH12,0)</f>
        <v>#REF!</v>
      </c>
      <c r="Q12">
        <f>IF(J_V="SI",0,Datos!AG12)</f>
        <v>0</v>
      </c>
      <c r="R12">
        <f>IF(J_V="SI",0,Datos!AH12)</f>
        <v>16</v>
      </c>
      <c r="S12">
        <f>IF(J_V="SI",0,Datos!AI12)</f>
        <v>16</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4.0371675744953539E-2</v>
      </c>
      <c r="I13" s="356">
        <f>IF(ISNUMBER((Tasas!C13-Datos!BE13)/Datos!BE13),(Tasas!C13-Datos!BE13)/Datos!BE13," - ")</f>
        <v>-0.44616355233494065</v>
      </c>
      <c r="J13" s="354">
        <f>IF(ISNUMBER((Tasas!D13-Datos!BF13)/Datos!BF13),(Tasas!D13-Datos!BF13)/Datos!BF13," - ")</f>
        <v>0.25693195567972427</v>
      </c>
      <c r="K13" s="357">
        <f>IF(ISNUMBER((Tasas!E13-Datos!BG13)/Datos!BG13),(Tasas!E13-Datos!BG13)/Datos!BG13," - ")</f>
        <v>-0.14485631592761516</v>
      </c>
      <c r="M13" t="e">
        <f>IF(Monitorios="SI",Datos!CE13,0)</f>
        <v>#REF!</v>
      </c>
      <c r="N13" t="e">
        <f>IF(Monitorios="SI",Datos!CF13,0)</f>
        <v>#REF!</v>
      </c>
      <c r="O13" t="e">
        <f>IF(Monitorios="SI",Datos!CG13,0)</f>
        <v>#REF!</v>
      </c>
      <c r="P13" t="e">
        <f>IF(Monitorios="SI",Datos!CH13,0)</f>
        <v>#REF!</v>
      </c>
      <c r="Q13">
        <f>IF(J_V="SI",0,Datos!AG13)</f>
        <v>53</v>
      </c>
      <c r="R13">
        <f>IF(J_V="SI",0,Datos!AH13)</f>
        <v>341</v>
      </c>
      <c r="S13">
        <f>IF(J_V="SI",0,Datos!AI13)</f>
        <v>373</v>
      </c>
      <c r="T13">
        <f>IF(J_V="SI",0,Datos!AJ13)</f>
        <v>24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0.18854673149648837</v>
      </c>
      <c r="E15" s="347">
        <f>IF(ISNUMBER(
   IF(D_I="SI",(Datos!J15-Datos!T15)/Datos!T15,(Datos!J15+Datos!AD15-(Datos!T15+Datos!AL15))/(Datos!T15+Datos!AL15))
     ),IF(D_I="SI",(Datos!J15-Datos!T15)/Datos!T15,(Datos!J15+Datos!AD15-(Datos!T15+Datos!AL15))/(Datos!T15+Datos!AL15))," - ")</f>
        <v>-3.2617880682778433E-2</v>
      </c>
      <c r="F15" s="347">
        <f>IF(ISNUMBER(
   IF(D_I="SI",(Datos!K15-Datos!U15)/Datos!U15,(Datos!K15+Datos!AE15-(Datos!U15+Datos!AM15))/(Datos!U15+Datos!AM15))
     ),IF(D_I="SI",(Datos!K15-Datos!U15)/Datos!U15,(Datos!K15+Datos!AE15-(Datos!U15+Datos!AM15))/(Datos!U15+Datos!AM15))," - ")</f>
        <v>2.0094356106936922E-2</v>
      </c>
      <c r="G15" s="348">
        <f>IF(ISNUMBER(
   IF(D_I="SI",(Datos!L15-Datos!V15)/Datos!V15,(Datos!L15+Datos!AF15-(Datos!V15+Datos!AN15))/(Datos!V15+Datos!AN15))
     ),IF(D_I="SI",(Datos!L15-Datos!V15)/Datos!V15,(Datos!L15+Datos!AF15-(Datos!V15+Datos!AN15))/(Datos!V15+Datos!AN15))," - ")</f>
        <v>-0.16090909090909092</v>
      </c>
      <c r="H15" s="229">
        <f>IF(ISNUMBER((Datos!M15-Datos!W15)/Datos!W15),(Datos!M15-Datos!W15)/Datos!W15," - ")</f>
        <v>0.11170212765957446</v>
      </c>
      <c r="I15" s="349">
        <f>IF(ISNUMBER((Tasas!C15-Datos!BE15)/Datos!BE15),(Tasas!C15-Datos!BE15)/Datos!BE15," - ")</f>
        <v>-0.17743794574729826</v>
      </c>
      <c r="J15" s="348">
        <f>IF(ISNUMBER((Tasas!D15-Datos!BF15)/Datos!BF15),(Tasas!D15-Datos!BF15)/Datos!BF15," - ")</f>
        <v>8.9803233401120994E-2</v>
      </c>
      <c r="K15" s="350">
        <f>IF(ISNUMBER((Tasas!E15-Datos!BG15)/Datos!BG15),(Tasas!E15-Datos!BG15)/Datos!BG15," - ")</f>
        <v>-1.1731088867369957E-5</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-0.46853146853146854</v>
      </c>
      <c r="E16" s="347">
        <f>IF(ISNUMBER(
   IF(D_I="SI",(Datos!J16-Datos!T16)/Datos!T16,(Datos!J16+Datos!AD16-(Datos!T16+Datos!AL16))/(Datos!T16+Datos!AL16))
     ),IF(D_I="SI",(Datos!J16-Datos!T16)/Datos!T16,(Datos!J16+Datos!AD16-(Datos!T16+Datos!AL16))/(Datos!T16+Datos!AL16))," - ")</f>
        <v>-0.24</v>
      </c>
      <c r="F16" s="347">
        <f>IF(ISNUMBER(
   IF(D_I="SI",(Datos!K16-Datos!U16)/Datos!U16,(Datos!K16+Datos!AE16-(Datos!U16+Datos!AM16))/(Datos!U16+Datos!AM16))
     ),IF(D_I="SI",(Datos!K16-Datos!U16)/Datos!U16,(Datos!K16+Datos!AE16-(Datos!U16+Datos!AM16))/(Datos!U16+Datos!AM16))," - ")</f>
        <v>-0.41420118343195267</v>
      </c>
      <c r="G16" s="348">
        <f>IF(ISNUMBER(
   IF(D_I="SI",(Datos!L16-Datos!V16)/Datos!V16,(Datos!L16+Datos!AF16-(Datos!V16+Datos!AN16))/(Datos!V16+Datos!AN16))
     ),IF(D_I="SI",(Datos!L16-Datos!V16)/Datos!V16,(Datos!L16+Datos!AF16-(Datos!V16+Datos!AN16))/(Datos!V16+Datos!AN16))," - ")</f>
        <v>-0.49342105263157893</v>
      </c>
      <c r="H16" s="229">
        <f>IF(ISNUMBER((Datos!M16-Datos!W16)/Datos!W16),(Datos!M16-Datos!W16)/Datos!W16," - ")</f>
        <v>-0.7</v>
      </c>
      <c r="I16" s="349">
        <f>IF(ISNUMBER((Tasas!C16-Datos!BE16)/Datos!BE16),(Tasas!C16-Datos!BE16)/Datos!BE16," - ")</f>
        <v>-0.13523391812865498</v>
      </c>
      <c r="J16" s="348">
        <f>IF(ISNUMBER((Tasas!D16-Datos!BF16)/Datos!BF16),(Tasas!D16-Datos!BF16)/Datos!BF16," - ")</f>
        <v>-0.48787878787878786</v>
      </c>
      <c r="K16" s="350">
        <f>IF(ISNUMBER((Tasas!E16-Datos!BG16)/Datos!BG16),(Tasas!E16-Datos!BG16)/Datos!BG16," - ")</f>
        <v>-6.1385559777842762E-2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0.29107981220657275</v>
      </c>
      <c r="E17" s="347">
        <f>IF(ISNUMBER(
   IF(D_I="SI",(Datos!J17-Datos!T17)/Datos!T17,(Datos!J17+Datos!AD17-(Datos!T17+Datos!AL17))/(Datos!T17+Datos!AL17))
     ),IF(D_I="SI",(Datos!J17-Datos!T17)/Datos!T17,(Datos!J17+Datos!AD17-(Datos!T17+Datos!AL17))/(Datos!T17+Datos!AL17))," - ")</f>
        <v>2.197802197802198E-2</v>
      </c>
      <c r="F17" s="347">
        <f>IF(ISNUMBER(
   IF(D_I="SI",(Datos!K17-Datos!U17)/Datos!U17,(Datos!K17+Datos!AE17-(Datos!U17+Datos!AM17))/(Datos!U17+Datos!AM17))
     ),IF(D_I="SI",(Datos!K17-Datos!U17)/Datos!U17,(Datos!K17+Datos!AE17-(Datos!U17+Datos!AM17))/(Datos!U17+Datos!AM17))," - ")</f>
        <v>-0.11392405063291139</v>
      </c>
      <c r="G17" s="348">
        <f>IF(ISNUMBER(
   IF(D_I="SI",(Datos!L17-Datos!V17)/Datos!V17,(Datos!L17+Datos!AF17-(Datos!V17+Datos!AN17))/(Datos!V17+Datos!AN17))
     ),IF(D_I="SI",(Datos!L17-Datos!V17)/Datos!V17,(Datos!L17+Datos!AF17-(Datos!V17+Datos!AN17))/(Datos!V17+Datos!AN17))," - ")</f>
        <v>0.15272727272727274</v>
      </c>
      <c r="H17" s="229">
        <f>IF(ISNUMBER((Datos!M17-Datos!W17)/Datos!W17),(Datos!M17-Datos!W17)/Datos!W17," - ")</f>
        <v>0.33333333333333331</v>
      </c>
      <c r="I17" s="349">
        <f>IF(ISNUMBER((Tasas!C17-Datos!BE17)/Datos!BE17),(Tasas!C17-Datos!BE17)/Datos!BE17," - ")</f>
        <v>0.30093506493506483</v>
      </c>
      <c r="J17" s="348">
        <f>IF(ISNUMBER((Tasas!D17-Datos!BF17)/Datos!BF17),(Tasas!D17-Datos!BF17)/Datos!BF17," - ")</f>
        <v>0.50476190476190474</v>
      </c>
      <c r="K17" s="350">
        <f>IF(ISNUMBER((Tasas!E17-Datos!BG17)/Datos!BG17),(Tasas!E17-Datos!BG17)/Datos!BG17," - ")</f>
        <v>0.23860342555994726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0.11787234042553192</v>
      </c>
      <c r="E18" s="353">
        <f>IF(ISNUMBER(
   IF(D_I="SI",(Datos!J18-Datos!T18)/Datos!T18,(Datos!J18+Datos!AD18-(Datos!T18+Datos!AL18))/(Datos!T18+Datos!AL18))
     ),IF(D_I="SI",(Datos!J18-Datos!T18)/Datos!T18,(Datos!J18+Datos!AD18-(Datos!T18+Datos!AL18))/(Datos!T18+Datos!AL18))," - ")</f>
        <v>-2.8822441430332923E-2</v>
      </c>
      <c r="F18" s="353">
        <f>IF(ISNUMBER(
   IF(D_I="SI",(Datos!K18-Datos!U18)/Datos!U18,(Datos!K18+Datos!AE18-(Datos!U18+Datos!AM18))/(Datos!U18+Datos!AM18))
     ),IF(D_I="SI",(Datos!K18-Datos!U18)/Datos!U18,(Datos!K18+Datos!AE18-(Datos!U18+Datos!AM18))/(Datos!U18+Datos!AM18))," - ")</f>
        <v>-1.4137606032045241E-3</v>
      </c>
      <c r="G18" s="354">
        <f>IF(ISNUMBER(
   IF(D_I="SI",(Datos!L18-Datos!V18)/Datos!V18,(Datos!L18+Datos!AF18-(Datos!V18+Datos!AN18))/(Datos!V18+Datos!AN18))
     ),IF(D_I="SI",(Datos!L18-Datos!V18)/Datos!V18,(Datos!L18+Datos!AF18-(Datos!V18+Datos!AN18))/(Datos!V18+Datos!AN18))," - ")</f>
        <v>-0.14731633041492195</v>
      </c>
      <c r="H18" s="355">
        <f>IF(ISNUMBER((Datos!M18-Datos!W18)/Datos!W18),(Datos!M18-Datos!W18)/Datos!W18," - ")</f>
        <v>0.11318407960199005</v>
      </c>
      <c r="I18" s="356">
        <f>IF(ISNUMBER((Tasas!C18-Datos!BE18)/Datos!BE18),(Tasas!C18-Datos!BE18)/Datos!BE18," - ")</f>
        <v>-0.14610913314793039</v>
      </c>
      <c r="J18" s="354">
        <f>IF(ISNUMBER((Tasas!D18-Datos!BF18)/Datos!BF18),(Tasas!D18-Datos!BF18)/Datos!BF18," - ")</f>
        <v>0.11476008349005312</v>
      </c>
      <c r="K18" s="357">
        <f>IF(ISNUMBER((Tasas!E18-Datos!BG18)/Datos!BG18),(Tasas!E18-Datos!BG18)/Datos!BG18," - ")</f>
        <v>1.1613478670817577E-2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0.13390746369469775</v>
      </c>
      <c r="E19" s="362">
        <f>IF(ISNUMBER(
   IF(J_V="SI",(Datos!J19-Datos!T19)/Datos!T19,(Datos!J19+Datos!Z19-(Datos!T19+Datos!AH19))/(Datos!T19+Datos!AH19))
     ),IF(J_V="SI",(Datos!J19-Datos!T19)/Datos!T19,(Datos!J19+Datos!Z19-(Datos!T19+Datos!AH19))/(Datos!T19+Datos!AH19))," - ")</f>
        <v>-2.0137784843667197E-2</v>
      </c>
      <c r="F19" s="362">
        <f>IF(ISNUMBER(
   IF(J_V="SI",(Datos!K19-Datos!U19)/Datos!U19,(Datos!K19+Datos!AA19-(Datos!U19+Datos!AI19))/(Datos!U19+Datos!AI19))
     ),IF(J_V="SI",(Datos!K19-Datos!U19)/Datos!U19,(Datos!K19+Datos!AA19-(Datos!U19+Datos!AI19))/(Datos!U19+Datos!AI19))," - ")</f>
        <v>0.11535793562708102</v>
      </c>
      <c r="G19" s="363">
        <f>IF(ISNUMBER(
   IF(J_V="SI",(Datos!L19-Datos!V19)/Datos!V19,(Datos!L19+Datos!AB19-(Datos!V19+Datos!AJ19))/(Datos!V19+Datos!AJ19))
     ),IF(J_V="SI",(Datos!L19-Datos!V19)/Datos!V19,(Datos!L19+Datos!AB19-(Datos!V19+Datos!AJ19))/(Datos!V19+Datos!AJ19))," - ")</f>
        <v>-0.25919856993892448</v>
      </c>
      <c r="H19" s="364">
        <f>IF(ISNUMBER((Datos!M19-Datos!W19)/Datos!W19),(Datos!M19-Datos!W19)/Datos!W19," - ")</f>
        <v>5.5286624203821653E-2</v>
      </c>
      <c r="I19" s="361">
        <f>IF(ISNUMBER((Tasas!C19-Datos!BE19)/Datos!BE19),(Tasas!C19-Datos!BE19)/Datos!BE19," - ")</f>
        <v>-0.33581731352941946</v>
      </c>
      <c r="J19" s="362">
        <f>IF(ISNUMBER((Tasas!D19-Datos!BF19)/Datos!BF19),(Tasas!D19-Datos!BF19)/Datos!BF19," - ")</f>
        <v>0.26184372070310241</v>
      </c>
      <c r="K19" s="363">
        <f>IF(ISNUMBER((Tasas!E19-Datos!BG19)/Datos!BG19),(Tasas!E19-Datos!BG19)/Datos!BG19," - ")</f>
        <v>-8.2567362897761981E-2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0.30870150782973443</v>
      </c>
      <c r="E21" s="277">
        <f t="shared" si="1"/>
        <v>0.2137342794992968</v>
      </c>
      <c r="F21" s="277">
        <f t="shared" si="1"/>
        <v>0.17686459119260653</v>
      </c>
      <c r="G21" s="278">
        <f t="shared" si="1"/>
        <v>0.84926432705833932</v>
      </c>
      <c r="H21" s="284">
        <f t="shared" si="1"/>
        <v>0.42725541467633071</v>
      </c>
      <c r="I21" s="276">
        <f t="shared" si="1"/>
        <v>0.92446211499896092</v>
      </c>
      <c r="J21" s="277">
        <f t="shared" si="1"/>
        <v>0.4051986985564725</v>
      </c>
      <c r="K21" s="278">
        <f t="shared" si="1"/>
        <v>0.2288263907045088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vqohaIB4Xk/FFmEfrzAxO5A9zoXOX3vYRww6CnSXYQVHCTxB+DtXwVdwn5jQ/vVXRI32HQn+bOJlKisDPdkzw==" saltValue="Yqj3TPtZOTwNGbh1H+bd5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